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7\2016 True-Up\Files Submitted to MISO\Original True-Up Files Submitted\"/>
    </mc:Choice>
  </mc:AlternateContent>
  <bookViews>
    <workbookView xWindow="360" yWindow="360" windowWidth="15450" windowHeight="11700"/>
  </bookViews>
  <sheets>
    <sheet name="MDU Attachment O 2016 Actuals" sheetId="1" r:id="rId1"/>
    <sheet name="2016 True-Up" sheetId="2" r:id="rId2"/>
    <sheet name="Acct 456.1" sheetId="3" r:id="rId3"/>
  </sheets>
  <externalReferences>
    <externalReference r:id="rId4"/>
    <externalReference r:id="rId5"/>
  </externalReferences>
  <definedNames>
    <definedName name="_xlnm.Print_Area" localSheetId="1">'2016 True-Up'!$A:$E</definedName>
    <definedName name="_xlnm.Print_Area" localSheetId="2">'Acct 456.1'!$A:$J</definedName>
    <definedName name="_xlnm.Print_Area" localSheetId="0">'MDU Attachment O 2016 Actuals'!$A$1:$L$396</definedName>
    <definedName name="Reconciliation" localSheetId="1">#REF!</definedName>
    <definedName name="Reconciliation">'[1]Reg Com &amp; NonSafety Ad Exp (8)'!#REF!</definedName>
    <definedName name="Workpaper" localSheetId="1">#REF!</definedName>
  </definedNames>
  <calcPr calcId="171027" calcMode="manual" calcCompleted="0" calcOnSave="0"/>
</workbook>
</file>

<file path=xl/calcChain.xml><?xml version="1.0" encoding="utf-8"?>
<calcChain xmlns="http://schemas.openxmlformats.org/spreadsheetml/2006/main">
  <c r="J32" i="3" l="1"/>
  <c r="J30" i="3"/>
  <c r="J28" i="3"/>
  <c r="J24" i="3"/>
  <c r="J17" i="3"/>
  <c r="J15" i="3"/>
  <c r="A4" i="3"/>
  <c r="E14" i="2"/>
  <c r="E16" i="2" s="1"/>
  <c r="E20" i="2" s="1"/>
  <c r="J26" i="3" l="1"/>
  <c r="J34" i="3" s="1"/>
  <c r="E394" i="1"/>
  <c r="J125" i="1" l="1"/>
  <c r="J185" i="1"/>
  <c r="J116" i="1"/>
  <c r="E199" i="1" l="1"/>
  <c r="E188" i="1"/>
  <c r="E396" i="1"/>
  <c r="J25" i="1" s="1"/>
  <c r="E320" i="1"/>
  <c r="J317" i="1"/>
  <c r="J310" i="1"/>
  <c r="E17" i="1" s="1"/>
  <c r="J301" i="1"/>
  <c r="H291" i="1"/>
  <c r="H290" i="1"/>
  <c r="J285" i="1"/>
  <c r="J287" i="1" s="1"/>
  <c r="E292" i="1" s="1"/>
  <c r="E293" i="1" s="1"/>
  <c r="E276" i="1"/>
  <c r="H274" i="1" s="1"/>
  <c r="J272" i="1"/>
  <c r="E269" i="1"/>
  <c r="H268" i="1"/>
  <c r="H267" i="1"/>
  <c r="H265" i="1"/>
  <c r="J255" i="1"/>
  <c r="J246" i="1"/>
  <c r="J249" i="1" s="1"/>
  <c r="J251" i="1" s="1"/>
  <c r="H16" i="1" s="1"/>
  <c r="E241" i="1"/>
  <c r="J238" i="1"/>
  <c r="J224" i="1"/>
  <c r="J220" i="1"/>
  <c r="E203" i="1"/>
  <c r="E207" i="1" s="1"/>
  <c r="E211" i="1" s="1"/>
  <c r="G197" i="1"/>
  <c r="D197" i="1"/>
  <c r="G193" i="1"/>
  <c r="D193" i="1"/>
  <c r="C187" i="1"/>
  <c r="C184" i="1"/>
  <c r="E181" i="1"/>
  <c r="E131" i="1" s="1"/>
  <c r="E134" i="1" s="1"/>
  <c r="J180" i="1"/>
  <c r="D179" i="1"/>
  <c r="G178" i="1"/>
  <c r="G176" i="1"/>
  <c r="G177" i="1" s="1"/>
  <c r="J173" i="1"/>
  <c r="E165" i="1"/>
  <c r="J162" i="1"/>
  <c r="G122" i="1"/>
  <c r="E112" i="1"/>
  <c r="E111" i="1"/>
  <c r="E110" i="1"/>
  <c r="E109" i="1"/>
  <c r="E108" i="1"/>
  <c r="E105" i="1"/>
  <c r="G104" i="1"/>
  <c r="C104" i="1"/>
  <c r="C112" i="1" s="1"/>
  <c r="G103" i="1"/>
  <c r="C103" i="1"/>
  <c r="C111" i="1" s="1"/>
  <c r="H102" i="1"/>
  <c r="G102" i="1"/>
  <c r="C102" i="1"/>
  <c r="C110" i="1" s="1"/>
  <c r="G101" i="1"/>
  <c r="G128" i="1" s="1"/>
  <c r="C101" i="1"/>
  <c r="C109" i="1" s="1"/>
  <c r="H100" i="1"/>
  <c r="G100" i="1"/>
  <c r="G119" i="1" s="1"/>
  <c r="G196" i="1" s="1"/>
  <c r="C100" i="1"/>
  <c r="C108" i="1" s="1"/>
  <c r="E97" i="1"/>
  <c r="E85" i="1"/>
  <c r="J82" i="1"/>
  <c r="J51" i="1"/>
  <c r="J50" i="1"/>
  <c r="J39" i="1"/>
  <c r="J24" i="1"/>
  <c r="G17" i="1"/>
  <c r="G18" i="1" s="1"/>
  <c r="G19" i="1" s="1"/>
  <c r="E16" i="1"/>
  <c r="J257" i="1"/>
  <c r="J259" i="1" s="1"/>
  <c r="E126" i="1"/>
  <c r="F292" i="1" l="1"/>
  <c r="J292" i="1" s="1"/>
  <c r="F291" i="1"/>
  <c r="J291" i="1" s="1"/>
  <c r="F290" i="1"/>
  <c r="J290" i="1" s="1"/>
  <c r="E113" i="1"/>
  <c r="E136" i="1" s="1"/>
  <c r="H17" i="1"/>
  <c r="J16" i="1"/>
  <c r="F266" i="1"/>
  <c r="H266" i="1" s="1"/>
  <c r="H269" i="1" s="1"/>
  <c r="J269" i="1" s="1"/>
  <c r="H93" i="1"/>
  <c r="J260" i="1"/>
  <c r="J261" i="1" s="1"/>
  <c r="J293" i="1" l="1"/>
  <c r="E204" i="1" s="1"/>
  <c r="H101" i="1"/>
  <c r="J93" i="1"/>
  <c r="H172" i="1"/>
  <c r="H132" i="1"/>
  <c r="J132" i="1" s="1"/>
  <c r="J274" i="1"/>
  <c r="L274" i="1" s="1"/>
  <c r="H96" i="1" s="1"/>
  <c r="H95" i="1"/>
  <c r="H18" i="1"/>
  <c r="J17" i="1"/>
  <c r="E214" i="1" l="1"/>
  <c r="E210" i="1" s="1"/>
  <c r="E212" i="1" s="1"/>
  <c r="E217" i="1" s="1"/>
  <c r="E225" i="1" s="1"/>
  <c r="H19" i="1"/>
  <c r="J19" i="1" s="1"/>
  <c r="J18" i="1"/>
  <c r="J96" i="1"/>
  <c r="H104" i="1"/>
  <c r="H174" i="1"/>
  <c r="J174" i="1" s="1"/>
  <c r="J172" i="1"/>
  <c r="H178" i="1"/>
  <c r="J178" i="1" s="1"/>
  <c r="H128" i="1"/>
  <c r="J101" i="1"/>
  <c r="J109" i="1" s="1"/>
  <c r="H103" i="1"/>
  <c r="J95" i="1"/>
  <c r="J97" i="1" s="1"/>
  <c r="H97" i="1" s="1"/>
  <c r="J20" i="1" l="1"/>
  <c r="H195" i="1"/>
  <c r="H133" i="1"/>
  <c r="J133" i="1" s="1"/>
  <c r="J103" i="1"/>
  <c r="J111" i="1" s="1"/>
  <c r="H175" i="1"/>
  <c r="H184" i="1"/>
  <c r="J184" i="1" s="1"/>
  <c r="J128" i="1"/>
  <c r="H179" i="1"/>
  <c r="J104" i="1"/>
  <c r="J112" i="1" s="1"/>
  <c r="J105" i="1" l="1"/>
  <c r="J113" i="1"/>
  <c r="H113" i="1" s="1"/>
  <c r="H211" i="1" s="1"/>
  <c r="J211" i="1" s="1"/>
  <c r="H186" i="1"/>
  <c r="J175" i="1"/>
  <c r="H176" i="1"/>
  <c r="H187" i="1"/>
  <c r="J187" i="1" s="1"/>
  <c r="J179" i="1"/>
  <c r="H198" i="1"/>
  <c r="J198" i="1" s="1"/>
  <c r="H197" i="1"/>
  <c r="J197" i="1" s="1"/>
  <c r="J195" i="1"/>
  <c r="H120" i="1" l="1"/>
  <c r="H121" i="1" s="1"/>
  <c r="H177" i="1"/>
  <c r="J177" i="1" s="1"/>
  <c r="J176" i="1"/>
  <c r="J186" i="1"/>
  <c r="J188" i="1" s="1"/>
  <c r="H192" i="1"/>
  <c r="J181" i="1" l="1"/>
  <c r="J131" i="1" s="1"/>
  <c r="J134" i="1" s="1"/>
  <c r="J120" i="1"/>
  <c r="H193" i="1"/>
  <c r="J193" i="1" s="1"/>
  <c r="J192" i="1"/>
  <c r="H123" i="1"/>
  <c r="J123" i="1" s="1"/>
  <c r="H122" i="1"/>
  <c r="J122" i="1" s="1"/>
  <c r="J121" i="1"/>
  <c r="J126" i="1" l="1"/>
  <c r="J136" i="1" s="1"/>
  <c r="J214" i="1" s="1"/>
  <c r="J210" i="1" s="1"/>
  <c r="J212" i="1" s="1"/>
  <c r="J199" i="1"/>
  <c r="J217" i="1" l="1"/>
  <c r="J225" i="1" s="1"/>
  <c r="J12" i="1" s="1"/>
  <c r="J28" i="1" s="1"/>
  <c r="E41" i="1" l="1"/>
  <c r="E47" i="1" s="1"/>
  <c r="E7" i="2"/>
  <c r="E48" i="1" l="1"/>
  <c r="J46" i="1"/>
  <c r="E42" i="1"/>
  <c r="E46" i="1"/>
  <c r="J47" i="1"/>
  <c r="J48" i="1"/>
  <c r="E9" i="2"/>
  <c r="E19" i="2" s="1"/>
  <c r="E21" i="2" s="1"/>
  <c r="E25" i="2" s="1"/>
  <c r="E27" i="2" s="1"/>
</calcChain>
</file>

<file path=xl/sharedStrings.xml><?xml version="1.0" encoding="utf-8"?>
<sst xmlns="http://schemas.openxmlformats.org/spreadsheetml/2006/main" count="580" uniqueCount="456">
  <si>
    <t>Attachment O</t>
  </si>
  <si>
    <t>page 1 of 5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</si>
  <si>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</si>
  <si>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</si>
  <si>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</si>
  <si>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</si>
  <si>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</si>
  <si>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</si>
  <si>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</si>
  <si>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</si>
  <si>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</si>
  <si>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</si>
  <si>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</si>
  <si>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</si>
  <si>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</si>
  <si>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</si>
  <si>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</si>
  <si>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</si>
  <si>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</si>
  <si>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</si>
  <si>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</si>
  <si>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</si>
  <si>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</si>
  <si>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</si>
  <si>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ATRR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</si>
  <si>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</si>
  <si>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</si>
  <si>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</si>
  <si>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</si>
  <si>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</si>
  <si>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</si>
  <si>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</si>
  <si>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</si>
  <si>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</si>
  <si>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</si>
  <si>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</si>
  <si>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</si>
  <si>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</si>
  <si>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</si>
  <si>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</si>
  <si>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</si>
  <si>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</si>
  <si>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</si>
  <si>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</si>
  <si>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</si>
  <si>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</si>
  <si>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</si>
  <si>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</si>
  <si>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</si>
  <si>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</si>
  <si>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</si>
  <si>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</si>
  <si>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</si>
  <si>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</si>
  <si>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</si>
  <si>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</si>
  <si>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</si>
  <si>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</si>
  <si>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</si>
  <si>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</si>
  <si>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</si>
  <si>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</si>
  <si>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FERC Annual Charge($/MWh)</t>
  </si>
  <si>
    <t xml:space="preserve">          (Note E)</t>
  </si>
  <si>
    <t>Short Term</t>
  </si>
  <si>
    <t>Long Term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</si>
  <si>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</si>
  <si>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</si>
  <si>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</si>
  <si>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</si>
  <si>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</si>
  <si>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</si>
  <si>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</si>
  <si>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</si>
  <si>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</si>
  <si>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</si>
  <si>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</si>
  <si>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</si>
  <si>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</si>
  <si>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</si>
  <si>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</si>
  <si>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</si>
  <si>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</si>
  <si>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</si>
  <si>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</si>
  <si>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</si>
  <si>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</si>
  <si>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</si>
  <si>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</si>
  <si>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</si>
  <si>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</si>
  <si>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</si>
  <si>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</si>
  <si>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</si>
  <si>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219.20-24.c</t>
  </si>
  <si>
    <t>219.25.c</t>
  </si>
  <si>
    <t>219.26.c</t>
  </si>
  <si>
    <t>219.28.c &amp; 200.21.c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</si>
  <si>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</si>
  <si>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</si>
  <si>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</si>
  <si>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</si>
  <si>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</si>
  <si>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</si>
  <si>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</si>
  <si>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</si>
  <si>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100% CWIP Recovery for Commission Approved Order</t>
  </si>
  <si>
    <t>18a</t>
  </si>
  <si>
    <t>273.8.k</t>
  </si>
  <si>
    <t>zero</t>
  </si>
  <si>
    <t>275.2.k</t>
  </si>
  <si>
    <t>NP</t>
  </si>
  <si>
    <t>277.9.k</t>
  </si>
  <si>
    <t>234.8.c</t>
  </si>
  <si>
    <t>267.8.h</t>
  </si>
  <si>
    <t>23a</t>
  </si>
  <si>
    <t xml:space="preserve">  Unamortized Balance of Abandoned Plant</t>
  </si>
  <si>
    <t>TOTAL ADJUSTMENTS  (sum lines 19- 23b)</t>
  </si>
  <si>
    <t>214.x.d  (Note G)</t>
  </si>
  <si>
    <t>WORKING CAPITAL  (Note H)</t>
  </si>
  <si>
    <t xml:space="preserve">  CWC  </t>
  </si>
  <si>
    <t>calculated</t>
  </si>
  <si>
    <t>227.8.c &amp; .16.c</t>
  </si>
  <si>
    <t>TE</t>
  </si>
  <si>
    <t>111.57.c</t>
  </si>
  <si>
    <t>GP</t>
  </si>
  <si>
    <t>TOTAL WORKING CAPITAL (sum lines 26 - 28)</t>
  </si>
  <si>
    <t>RATE BASE  (sum lines 18, 18a, 24, 25, &amp; 29)</t>
  </si>
  <si>
    <t>page 3 of 5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</si>
  <si>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</si>
  <si>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</si>
  <si>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</si>
  <si>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</si>
  <si>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</si>
  <si>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</si>
  <si>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</si>
  <si>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</si>
  <si>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</si>
  <si>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</si>
  <si>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</si>
  <si>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</si>
  <si>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</si>
  <si>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</si>
  <si>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336.7.b</t>
  </si>
  <si>
    <t>9a</t>
  </si>
  <si>
    <t xml:space="preserve">  Abandoned Plant Amortization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</si>
  <si>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</si>
  <si>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</si>
  <si>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</si>
  <si>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</si>
  <si>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</si>
  <si>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</si>
  <si>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</si>
  <si>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</si>
  <si>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</si>
  <si>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</si>
  <si>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</si>
  <si>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</si>
  <si>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</si>
  <si>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</si>
  <si>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</si>
  <si>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</si>
  <si>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</si>
  <si>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</si>
  <si>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</si>
  <si>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</si>
  <si>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</si>
  <si>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</si>
  <si>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</si>
  <si>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</si>
  <si>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</si>
  <si>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</si>
  <si>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</si>
  <si>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</si>
  <si>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</si>
  <si>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</si>
  <si>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</si>
  <si>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</si>
  <si>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</si>
  <si>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</si>
  <si>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</si>
  <si>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</si>
  <si>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</si>
  <si>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</si>
  <si>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</si>
  <si>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</si>
  <si>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</si>
  <si>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</si>
  <si>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</si>
  <si>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</si>
  <si>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</si>
  <si>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</si>
  <si>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</si>
  <si>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</si>
  <si>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</si>
  <si>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</si>
  <si>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</si>
  <si>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</si>
  <si>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</si>
  <si>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</si>
  <si>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</si>
  <si>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</si>
  <si>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</si>
  <si>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</si>
  <si>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</si>
  <si>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</si>
  <si>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</si>
  <si>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</si>
  <si>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</si>
  <si>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</si>
  <si>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</si>
  <si>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</si>
  <si>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</si>
  <si>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</si>
  <si>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</si>
  <si>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</si>
  <si>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</si>
  <si>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</si>
  <si>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</si>
  <si>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</si>
  <si>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</si>
  <si>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</si>
  <si>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</si>
  <si>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</si>
  <si>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</si>
  <si>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</si>
  <si>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Preferred Dividends (118.29c) (positive number)</t>
  </si>
  <si>
    <t xml:space="preserve">                                          Development of Common Stock:</t>
  </si>
  <si>
    <t>Common Stock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</si>
  <si>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</si>
  <si>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</si>
  <si>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</si>
  <si>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</si>
  <si>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</si>
  <si>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</si>
  <si>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</si>
  <si>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</si>
  <si>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</si>
  <si>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</si>
  <si>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</si>
  <si>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</si>
  <si>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</si>
  <si>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</si>
  <si>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</si>
  <si>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</si>
  <si>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</si>
  <si>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</si>
  <si>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</si>
  <si>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</si>
  <si>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>36b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</si>
  <si>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</si>
  <si>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</si>
  <si>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</si>
  <si>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</si>
  <si>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</si>
  <si>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</si>
  <si>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</si>
  <si>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</si>
  <si>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</si>
  <si>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</si>
  <si>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</si>
  <si>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</si>
  <si>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</si>
  <si>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</si>
  <si>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</si>
  <si>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</si>
  <si>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</si>
  <si>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</si>
  <si>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</si>
  <si>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</si>
  <si>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</si>
  <si>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</si>
  <si>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</si>
  <si>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</si>
  <si>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</si>
  <si>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</si>
  <si>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</si>
  <si>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</si>
  <si>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</si>
  <si>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</si>
  <si>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</si>
  <si>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</si>
  <si>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</si>
  <si>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</si>
  <si>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</si>
  <si>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</si>
  <si>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</si>
  <si>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</si>
  <si>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</si>
  <si>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</si>
  <si>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</si>
  <si>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</si>
  <si>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</si>
  <si>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</si>
  <si>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</si>
  <si>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</si>
  <si>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</si>
  <si>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</si>
  <si>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</si>
  <si>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</si>
  <si>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</si>
  <si>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</si>
  <si>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</si>
  <si>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</si>
  <si>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</si>
  <si>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</si>
  <si>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</si>
  <si>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</si>
  <si>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</si>
  <si>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</si>
  <si>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</si>
  <si>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</si>
  <si>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</si>
  <si>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</si>
  <si>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</si>
  <si>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</si>
  <si>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</si>
  <si>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</si>
  <si>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</si>
  <si>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</si>
  <si>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</si>
  <si>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</si>
  <si>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</si>
  <si>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</si>
  <si>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</si>
  <si>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</si>
  <si>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</si>
  <si>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</si>
  <si>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X</t>
  </si>
  <si>
    <t>Y</t>
  </si>
  <si>
    <t xml:space="preserve">These are shown in the workpapers required pursuant to the Annual Rate Calculation and True-Up Procedures. </t>
  </si>
  <si>
    <t>Z</t>
  </si>
  <si>
    <t>Calculate using 13 month average balance, reconciling to FERC Form No. 1 by page, line and column as shown in Column 2.</t>
  </si>
  <si>
    <t>AA</t>
  </si>
  <si>
    <t>Calculate using a simple average of beginning of year and end of year balances reconciling to FERC Form No. 1 by page, line and column as shown in Column 2.</t>
  </si>
  <si>
    <t>BB</t>
  </si>
  <si>
    <t>Calculation of Prior Year Divisor True-Up:</t>
  </si>
  <si>
    <t>Historic Year Actual Divisor</t>
  </si>
  <si>
    <t>Pg 1, Line 15</t>
  </si>
  <si>
    <t>Projected Year Divisor</t>
  </si>
  <si>
    <t>Difference between Historic &amp; Project Yr Divisor</t>
  </si>
  <si>
    <t>Prior Year Projected Annual Cost ($ per kw per yr.)</t>
  </si>
  <si>
    <t>Pg 1, Line 16</t>
  </si>
  <si>
    <t>Projected Year Divisor True-up (Difference * Prior Year Projected Annual Cost)</t>
  </si>
  <si>
    <t>CC</t>
  </si>
  <si>
    <t>DD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</si>
  <si>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</si>
  <si>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</si>
  <si>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</si>
  <si>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</si>
  <si>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>Montana-Dakota Utilities Co.</t>
  </si>
  <si>
    <t>(Note CC, Note DD)</t>
  </si>
  <si>
    <t>LAND HELD FOR FUTURE USE    (Note DD)</t>
  </si>
  <si>
    <t xml:space="preserve">  Materials &amp; Supplies  (Note G, Note DD)</t>
  </si>
  <si>
    <t>(Note CC)</t>
  </si>
  <si>
    <t xml:space="preserve">  Prepayments (Account 165, Note DD)</t>
  </si>
  <si>
    <t>(Note FF)</t>
  </si>
  <si>
    <t>GROSS PLANT IN SERVICE     (Note AA, Note DD)</t>
  </si>
  <si>
    <t>ACCUMULATED DEPRECIATION  (Note AA, Note DD)</t>
  </si>
  <si>
    <t>NET PLANT IN SERVICE    (Note DD)</t>
  </si>
  <si>
    <t>No. 679 Transmission Projects  (Note DD)</t>
  </si>
  <si>
    <t>(line 16 / 4,160; line 16 / 8,760*1000)</t>
  </si>
  <si>
    <t>Capped at weekly and daily rates</t>
  </si>
  <si>
    <t>O&amp;M  (Note BB)</t>
  </si>
  <si>
    <t>DEPRECIATION AND AMORTIZATION EXPENSE (Note AA)</t>
  </si>
  <si>
    <t>Long Term Interest (117, sum of 62.c through 66.c)</t>
  </si>
  <si>
    <t xml:space="preserve">216.b </t>
  </si>
  <si>
    <t>ADJUSTMENTS TO RATE BASE       (Note F, Note EE)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</si>
  <si>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</si>
  <si>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</si>
  <si>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</si>
  <si>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190</t>
  </si>
  <si>
    <t xml:space="preserve">  Account No. 255 (enter negative)</t>
  </si>
  <si>
    <t>LESS ATTACHMENT MM ADJUSTMENT [Attachment MM, page 2, line 3, column 14]   (Note Y)</t>
  </si>
  <si>
    <t>Less Account 123.1 (225.42.(g)) (enter negative) (Note DD)</t>
  </si>
  <si>
    <t>(sum lines 23-25) (Note DD)</t>
  </si>
  <si>
    <t xml:space="preserve">  Long Term Debt (112, sum of  18.c through 21.c) (Note DD)</t>
  </si>
  <si>
    <t xml:space="preserve">  Preferred Stock  (112.3.c) (Note DD)</t>
  </si>
  <si>
    <t xml:space="preserve">  Common Stock  (line 26) (Note DD)</t>
  </si>
  <si>
    <t>Total  (sum lines 27-29) (Note DD)</t>
  </si>
  <si>
    <t>Proprietary Capital (112.16.c) (Note DD)</t>
  </si>
  <si>
    <t>Less Preferred Stock (line 28)  (Note DD)</t>
  </si>
  <si>
    <t>23b</t>
  </si>
  <si>
    <t xml:space="preserve">  RESERVED FOR FUTURE USE</t>
  </si>
  <si>
    <t>N/A</t>
  </si>
  <si>
    <t xml:space="preserve">  c. Transmission charges from Schedules associated with Attachment GG (Note X)</t>
  </si>
  <si>
    <t xml:space="preserve">  d. Transmission charges from Schedules associated with Attachment MM  (Note Z)</t>
  </si>
  <si>
    <t>Pursuant to Attachment GG of the Midwest ISO Tariff, removes dollar amount of the revenue requirements calculated pursuant to Attachment GG.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</si>
  <si>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</si>
  <si>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</si>
  <si>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Pursuant to Attachment MM of the Midwest ISO Tariff, removes dollar amount of revenue requirements calculated pursuant to Attachment MM.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</si>
  <si>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</si>
  <si>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</si>
  <si>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</si>
  <si>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</si>
  <si>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>RETURN (R)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</si>
  <si>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</si>
  <si>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</si>
  <si>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</si>
  <si>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</si>
  <si>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 xml:space="preserve">  a filing with FERC.  A 50 basis point adder for RTO participation may be added to the ROE up to the upper end of the zone of reasonableness established by FERC. </t>
  </si>
  <si>
    <t>For the 12 months ended 12/31/16</t>
  </si>
  <si>
    <t>MISO Attachment O True-Up</t>
  </si>
  <si>
    <t>Twelve Months Ended December 31, 2016</t>
  </si>
  <si>
    <t>Annual Transmission Revenue Requirement (ATRR) True-Up</t>
  </si>
  <si>
    <t>Historic Year Projected ATRR</t>
  </si>
  <si>
    <t xml:space="preserve">    Over-recovery of Revenue Requirement</t>
  </si>
  <si>
    <t>Footnote FF:  Calculation of Prior Year Divisor True-Up</t>
  </si>
  <si>
    <t>Difference between Historic Year &amp; Project Yr Divisor</t>
  </si>
  <si>
    <t>Over-recovery of Divisor</t>
  </si>
  <si>
    <t>ATRR True-Up</t>
  </si>
  <si>
    <t>Divisor True-Up</t>
  </si>
  <si>
    <t>Total True-Up</t>
  </si>
  <si>
    <t>Interest on Historic Year True-Up   1/</t>
  </si>
  <si>
    <t>Average Monthly FERC Interest Rate on Refunds</t>
  </si>
  <si>
    <t>Interest for 24 Months</t>
  </si>
  <si>
    <t>Total True-Up  2/</t>
  </si>
  <si>
    <t>1/  Average FERC refund interest rate through June 2017.</t>
  </si>
  <si>
    <t>2/  True-up to be included in Projected 2018 Attachment O's Revenue Requirement.</t>
  </si>
  <si>
    <t>MISO Attachment O Annual True-Up</t>
  </si>
  <si>
    <t>Other Electric Revenues Account 456.1</t>
  </si>
  <si>
    <t>Form 1 Page</t>
  </si>
  <si>
    <t>Acct 456.1 Transmission of Electricity for Others</t>
  </si>
  <si>
    <t>Line, Col.</t>
  </si>
  <si>
    <t>Revenues</t>
  </si>
  <si>
    <t>a.</t>
  </si>
  <si>
    <t>Transmission charges for all transmission transactions</t>
  </si>
  <si>
    <t>330.x.n</t>
  </si>
  <si>
    <t>WAPA and Other</t>
  </si>
  <si>
    <t>MISO Schedules 1, 2, 7, 8, 9, and 11</t>
  </si>
  <si>
    <t>Powder River Energy Corp</t>
  </si>
  <si>
    <t>MISO Schedule 24</t>
  </si>
  <si>
    <t>Exclude:</t>
  </si>
  <si>
    <t xml:space="preserve">      Powder River Energy Corp  1/</t>
  </si>
  <si>
    <t>Include:</t>
  </si>
  <si>
    <t xml:space="preserve">      Facility Sharing Agreement   2/</t>
  </si>
  <si>
    <t xml:space="preserve">      Facility Credits under SPP Schedule 9  2/</t>
  </si>
  <si>
    <t xml:space="preserve">      Attachment GG Revenue Requirement  3/</t>
  </si>
  <si>
    <t xml:space="preserve">      Attachment MM Revenue Requirement  3/</t>
  </si>
  <si>
    <t>Page 4</t>
  </si>
  <si>
    <t>Line 35</t>
  </si>
  <si>
    <t xml:space="preserve">  Total included in Line 35, Page 4 of Attachment O</t>
  </si>
  <si>
    <t>Line 36</t>
  </si>
  <si>
    <t>b.</t>
  </si>
  <si>
    <t>Transmission charges for all transmission transactions included in Divisor 1 on Page 1</t>
  </si>
  <si>
    <t>Line 36a</t>
  </si>
  <si>
    <t>c.</t>
  </si>
  <si>
    <t>Transmission charges from Schedules associated with Attachment GG (Note X)   3/</t>
  </si>
  <si>
    <t>Line 36b</t>
  </si>
  <si>
    <t>d.</t>
  </si>
  <si>
    <t>Transmission charges from Schedules associated with Attachment MM  (Note Z)  3/</t>
  </si>
  <si>
    <t>Total of (a) - (b) - (c) - (d)</t>
  </si>
  <si>
    <t>1/  Applicable to Wyoming.</t>
  </si>
  <si>
    <t>2/</t>
  </si>
  <si>
    <t xml:space="preserve">Revenue received not included on FERC Form 1, page 330 but is related to transmission service to others.  </t>
  </si>
  <si>
    <t>3/  Revenue from Attachments GG and MM are not included on FERC Form 1, page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</si>
</sst>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#,##0.00000"/>
    <numFmt numFmtId="169" formatCode="0.000%"/>
    <numFmt numFmtId="170" formatCode="#,##0.0"/>
    <numFmt numFmtId="171" formatCode="0.0000"/>
    <numFmt numFmtId="172" formatCode="#,##0.000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"/>
    <numFmt numFmtId="176" formatCode="#,##0.0000_);\(#,##0.0000\)"/>
    <numFmt numFmtId="177" formatCode="&quot;$&quot;#,##0.000_);[Red]\(&quot;$&quot;#,##0.000\)"/>
    <numFmt numFmtId="178" formatCode="0.000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name val="Arial MT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  <font>
      <sz val="12"/>
      <color rgb="FFC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Protection="0"/>
  </cellStyleXfs>
  <cellXfs count="240">
    <xf numFmtId="0" fontId="0" fillId="0" borderId="0" xfId="0"/>
    <xf numFmtId="0" fontId="2" fillId="2" borderId="0" xfId="0" applyNumberFormat="1" applyFont="1" applyFill="1" applyProtection="1">
      <protection locked="0"/>
    </xf>
    <xf numFmtId="0" fontId="2" fillId="0" borderId="0" xfId="0" applyNumberFormat="1" applyFont="1" applyFill="1" applyProtection="1">
      <protection locked="0"/>
    </xf>
    <xf numFmtId="167" fontId="2" fillId="2" borderId="0" xfId="0" applyNumberFormat="1" applyFont="1" applyFill="1" applyProtection="1">
      <protection locked="0"/>
    </xf>
    <xf numFmtId="38" fontId="2" fillId="2" borderId="0" xfId="0" applyNumberFormat="1" applyFont="1" applyFill="1" applyBorder="1" applyProtection="1">
      <protection locked="0"/>
    </xf>
    <xf numFmtId="38" fontId="2" fillId="2" borderId="1" xfId="0" applyNumberFormat="1" applyFont="1" applyFill="1" applyBorder="1" applyProtection="1">
      <protection locked="0"/>
    </xf>
    <xf numFmtId="38" fontId="2" fillId="0" borderId="0" xfId="0" applyNumberFormat="1" applyFont="1" applyFill="1" applyBorder="1" applyProtection="1"/>
    <xf numFmtId="175" fontId="2" fillId="2" borderId="0" xfId="0" applyNumberFormat="1" applyFont="1" applyFill="1" applyBorder="1" applyAlignment="1" applyProtection="1">
      <protection locked="0"/>
    </xf>
    <xf numFmtId="3" fontId="2" fillId="0" borderId="0" xfId="0" applyNumberFormat="1" applyFont="1" applyAlignment="1" applyProtection="1"/>
    <xf numFmtId="175" fontId="2" fillId="2" borderId="1" xfId="0" applyNumberFormat="1" applyFont="1" applyFill="1" applyBorder="1" applyAlignment="1" applyProtection="1">
      <protection locked="0"/>
    </xf>
    <xf numFmtId="175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10" fontId="2" fillId="2" borderId="0" xfId="0" applyNumberFormat="1" applyFont="1" applyFill="1" applyProtection="1">
      <protection locked="0"/>
    </xf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Alignment="1" applyProtection="1"/>
    <xf numFmtId="49" fontId="3" fillId="3" borderId="0" xfId="0" applyNumberFormat="1" applyFont="1" applyFill="1" applyProtection="1"/>
    <xf numFmtId="3" fontId="2" fillId="0" borderId="0" xfId="0" applyNumberFormat="1" applyFont="1" applyProtection="1"/>
    <xf numFmtId="42" fontId="2" fillId="0" borderId="0" xfId="0" applyNumberFormat="1" applyFont="1" applyProtection="1"/>
    <xf numFmtId="165" fontId="2" fillId="0" borderId="0" xfId="0" applyNumberFormat="1" applyFont="1" applyAlignment="1" applyProtection="1"/>
    <xf numFmtId="3" fontId="2" fillId="0" borderId="1" xfId="0" applyNumberFormat="1" applyFont="1" applyBorder="1" applyAlignment="1" applyProtection="1"/>
    <xf numFmtId="3" fontId="2" fillId="0" borderId="0" xfId="3" applyNumberFormat="1" applyFont="1" applyFill="1" applyAlignment="1" applyProtection="1"/>
    <xf numFmtId="37" fontId="2" fillId="0" borderId="0" xfId="3" applyNumberFormat="1" applyFont="1" applyFill="1" applyBorder="1" applyAlignment="1" applyProtection="1"/>
    <xf numFmtId="42" fontId="2" fillId="0" borderId="2" xfId="0" applyNumberFormat="1" applyFont="1" applyBorder="1" applyAlignment="1" applyProtection="1">
      <alignment horizontal="right"/>
    </xf>
    <xf numFmtId="166" fontId="2" fillId="0" borderId="0" xfId="0" applyNumberFormat="1" applyFont="1" applyProtection="1"/>
    <xf numFmtId="167" fontId="2" fillId="0" borderId="0" xfId="0" applyNumberFormat="1" applyFont="1" applyAlignment="1" applyProtection="1"/>
    <xf numFmtId="166" fontId="2" fillId="0" borderId="0" xfId="0" applyNumberFormat="1" applyFont="1" applyFill="1" applyProtection="1"/>
    <xf numFmtId="167" fontId="2" fillId="0" borderId="0" xfId="0" applyNumberFormat="1" applyFont="1" applyProtection="1"/>
    <xf numFmtId="168" fontId="2" fillId="0" borderId="0" xfId="0" applyNumberFormat="1" applyFont="1" applyAlignment="1" applyProtection="1"/>
    <xf numFmtId="3" fontId="2" fillId="0" borderId="0" xfId="0" applyNumberFormat="1" applyFont="1" applyBorder="1" applyAlignment="1" applyProtection="1"/>
    <xf numFmtId="169" fontId="2" fillId="0" borderId="0" xfId="0" applyNumberFormat="1" applyFont="1" applyAlignment="1" applyProtection="1">
      <alignment horizontal="center"/>
    </xf>
    <xf numFmtId="168" fontId="2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Alignment="1" applyProtection="1"/>
    <xf numFmtId="37" fontId="2" fillId="0" borderId="0" xfId="0" applyNumberFormat="1" applyFont="1" applyBorder="1" applyAlignment="1" applyProtection="1"/>
    <xf numFmtId="3" fontId="2" fillId="0" borderId="2" xfId="0" applyNumberFormat="1" applyFont="1" applyBorder="1" applyAlignment="1" applyProtection="1"/>
    <xf numFmtId="170" fontId="2" fillId="0" borderId="0" xfId="0" applyNumberFormat="1" applyFont="1" applyFill="1" applyAlignment="1" applyProtection="1">
      <alignment horizontal="left"/>
    </xf>
    <xf numFmtId="168" fontId="2" fillId="0" borderId="0" xfId="0" applyNumberFormat="1" applyFont="1" applyFill="1" applyAlignment="1" applyProtection="1"/>
    <xf numFmtId="3" fontId="2" fillId="0" borderId="0" xfId="3" applyNumberFormat="1" applyFont="1" applyAlignment="1" applyProtection="1"/>
    <xf numFmtId="10" fontId="2" fillId="0" borderId="0" xfId="0" applyNumberFormat="1" applyFont="1" applyFill="1" applyAlignment="1" applyProtection="1">
      <alignment horizontal="right"/>
    </xf>
    <xf numFmtId="171" fontId="2" fillId="0" borderId="0" xfId="0" applyNumberFormat="1" applyFont="1" applyFill="1" applyAlignment="1" applyProtection="1">
      <alignment horizontal="right"/>
    </xf>
    <xf numFmtId="37" fontId="2" fillId="0" borderId="1" xfId="0" applyNumberFormat="1" applyFont="1" applyBorder="1" applyAlignment="1" applyProtection="1"/>
    <xf numFmtId="3" fontId="2" fillId="0" borderId="0" xfId="0" applyNumberFormat="1" applyFont="1" applyFill="1" applyAlignment="1" applyProtection="1">
      <alignment horizontal="right"/>
    </xf>
    <xf numFmtId="3" fontId="2" fillId="0" borderId="3" xfId="0" applyNumberFormat="1" applyFont="1" applyBorder="1" applyAlignment="1" applyProtection="1"/>
    <xf numFmtId="168" fontId="2" fillId="0" borderId="0" xfId="0" applyNumberFormat="1" applyFont="1" applyFill="1" applyProtection="1"/>
    <xf numFmtId="165" fontId="2" fillId="0" borderId="0" xfId="0" applyNumberFormat="1" applyFont="1" applyFill="1" applyProtection="1"/>
    <xf numFmtId="4" fontId="2" fillId="0" borderId="0" xfId="0" applyNumberFormat="1" applyFont="1" applyAlignment="1" applyProtection="1"/>
    <xf numFmtId="165" fontId="2" fillId="0" borderId="0" xfId="0" applyNumberFormat="1" applyFont="1" applyFill="1" applyAlignment="1" applyProtection="1"/>
    <xf numFmtId="9" fontId="2" fillId="0" borderId="0" xfId="0" applyNumberFormat="1" applyFont="1" applyAlignment="1" applyProtection="1"/>
    <xf numFmtId="171" fontId="2" fillId="0" borderId="0" xfId="0" applyNumberFormat="1" applyFont="1" applyAlignment="1" applyProtection="1"/>
    <xf numFmtId="171" fontId="2" fillId="0" borderId="1" xfId="0" applyNumberFormat="1" applyFont="1" applyBorder="1" applyAlignment="1" applyProtection="1"/>
    <xf numFmtId="37" fontId="2" fillId="0" borderId="0" xfId="3" applyNumberFormat="1" applyFont="1" applyFill="1" applyAlignment="1" applyProtection="1"/>
    <xf numFmtId="3" fontId="2" fillId="2" borderId="0" xfId="0" applyNumberFormat="1" applyFont="1" applyFill="1" applyAlignment="1" applyProtection="1">
      <protection locked="0"/>
    </xf>
    <xf numFmtId="37" fontId="2" fillId="2" borderId="0" xfId="3" applyNumberFormat="1" applyFont="1" applyFill="1" applyBorder="1" applyAlignment="1" applyProtection="1">
      <protection locked="0"/>
    </xf>
    <xf numFmtId="37" fontId="2" fillId="2" borderId="1" xfId="3" applyNumberFormat="1" applyFont="1" applyFill="1" applyBorder="1" applyAlignment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0" xfId="0" applyNumberFormat="1" applyFont="1" applyFill="1" applyProtection="1">
      <protection locked="0"/>
    </xf>
    <xf numFmtId="3" fontId="2" fillId="2" borderId="1" xfId="0" applyNumberFormat="1" applyFont="1" applyFill="1" applyBorder="1" applyAlignment="1" applyProtection="1">
      <protection locked="0"/>
    </xf>
    <xf numFmtId="3" fontId="2" fillId="2" borderId="0" xfId="3" applyNumberFormat="1" applyFont="1" applyFill="1" applyAlignment="1" applyProtection="1">
      <protection locked="0"/>
    </xf>
    <xf numFmtId="37" fontId="2" fillId="2" borderId="4" xfId="0" applyNumberFormat="1" applyFont="1" applyFill="1" applyBorder="1" applyAlignment="1" applyProtection="1"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0" xfId="0" applyNumberFormat="1" applyFont="1" applyFill="1" applyAlignment="1" applyProtection="1">
      <protection locked="0"/>
    </xf>
    <xf numFmtId="3" fontId="2" fillId="3" borderId="0" xfId="0" applyNumberFormat="1" applyFont="1" applyFill="1" applyAlignment="1" applyProtection="1">
      <protection locked="0"/>
    </xf>
    <xf numFmtId="175" fontId="2" fillId="2" borderId="0" xfId="0" applyNumberFormat="1" applyFont="1" applyFill="1" applyAlignment="1" applyProtection="1">
      <protection locked="0"/>
    </xf>
    <xf numFmtId="42" fontId="2" fillId="2" borderId="0" xfId="0" applyNumberFormat="1" applyFont="1" applyFill="1" applyAlignment="1" applyProtection="1">
      <protection locked="0"/>
    </xf>
    <xf numFmtId="171" fontId="2" fillId="2" borderId="0" xfId="0" applyNumberFormat="1" applyFont="1" applyFill="1" applyAlignment="1" applyProtection="1">
      <protection locked="0"/>
    </xf>
    <xf numFmtId="175" fontId="2" fillId="2" borderId="0" xfId="0" applyNumberFormat="1" applyFont="1" applyFill="1" applyBorder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49" fontId="3" fillId="3" borderId="0" xfId="0" applyNumberFormat="1" applyFont="1" applyFill="1" applyProtection="1">
      <protection locked="0"/>
    </xf>
    <xf numFmtId="0" fontId="2" fillId="3" borderId="0" xfId="0" applyNumberFormat="1" applyFont="1" applyFill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0" fontId="2" fillId="0" borderId="1" xfId="0" applyNumberFormat="1" applyFont="1" applyBorder="1" applyAlignment="1" applyProtection="1">
      <alignment horizontal="centerContinuous"/>
      <protection locked="0"/>
    </xf>
    <xf numFmtId="165" fontId="2" fillId="0" borderId="0" xfId="0" applyNumberFormat="1" applyFont="1" applyAlignment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horizontal="fill"/>
      <protection locked="0"/>
    </xf>
    <xf numFmtId="0" fontId="2" fillId="0" borderId="0" xfId="3" applyNumberFormat="1" applyFont="1" applyFill="1" applyAlignment="1" applyProtection="1">
      <alignment horizontal="center"/>
      <protection locked="0"/>
    </xf>
    <xf numFmtId="164" fontId="2" fillId="0" borderId="0" xfId="3" applyFont="1" applyFill="1" applyAlignment="1" applyProtection="1">
      <protection locked="0"/>
    </xf>
    <xf numFmtId="0" fontId="2" fillId="0" borderId="0" xfId="3" applyNumberFormat="1" applyFont="1" applyFill="1" applyProtection="1">
      <protection locked="0"/>
    </xf>
    <xf numFmtId="3" fontId="2" fillId="0" borderId="0" xfId="3" applyNumberFormat="1" applyFont="1" applyFill="1" applyAlignment="1" applyProtection="1">
      <protection locked="0"/>
    </xf>
    <xf numFmtId="165" fontId="2" fillId="0" borderId="0" xfId="3" applyNumberFormat="1" applyFont="1" applyFill="1" applyAlignment="1" applyProtection="1">
      <protection locked="0"/>
    </xf>
    <xf numFmtId="0" fontId="5" fillId="0" borderId="0" xfId="0" applyNumberFormat="1" applyFont="1" applyBorder="1" applyProtection="1">
      <protection locked="0"/>
    </xf>
    <xf numFmtId="164" fontId="5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Continuous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3" quotePrefix="1" applyNumberFormat="1" applyFont="1" applyFill="1" applyProtection="1">
      <protection locked="0"/>
    </xf>
    <xf numFmtId="42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3" fontId="15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15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67" fontId="2" fillId="0" borderId="0" xfId="0" applyNumberFormat="1" applyFont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67" fontId="2" fillId="0" borderId="0" xfId="0" applyNumberFormat="1" applyFont="1" applyFill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protection locked="0"/>
    </xf>
    <xf numFmtId="3" fontId="15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protection locked="0"/>
    </xf>
    <xf numFmtId="3" fontId="2" fillId="0" borderId="0" xfId="0" applyNumberFormat="1" applyFont="1" applyBorder="1" applyAlignment="1" applyProtection="1">
      <protection locked="0"/>
    </xf>
    <xf numFmtId="169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Fill="1" applyAlignment="1" applyProtection="1">
      <alignment horizontal="right"/>
      <protection locked="0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0" fontId="2" fillId="0" borderId="0" xfId="3" applyNumberFormat="1" applyFont="1" applyAlignment="1" applyProtection="1">
      <protection locked="0"/>
    </xf>
    <xf numFmtId="169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164" fontId="2" fillId="0" borderId="0" xfId="3" applyFont="1" applyAlignment="1" applyProtection="1">
      <protection locked="0"/>
    </xf>
    <xf numFmtId="3" fontId="2" fillId="0" borderId="0" xfId="3" applyNumberFormat="1" applyFont="1" applyAlignment="1" applyProtection="1">
      <protection locked="0"/>
    </xf>
    <xf numFmtId="168" fontId="2" fillId="0" borderId="0" xfId="3" applyNumberFormat="1" applyFont="1" applyAlignment="1" applyProtection="1"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Alignment="1" applyProtection="1">
      <alignment horizontal="left"/>
      <protection locked="0"/>
    </xf>
    <xf numFmtId="3" fontId="15" fillId="0" borderId="0" xfId="0" applyNumberFormat="1" applyFont="1" applyAlignment="1" applyProtection="1">
      <protection locked="0"/>
    </xf>
    <xf numFmtId="1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72" fontId="2" fillId="0" borderId="0" xfId="0" applyNumberFormat="1" applyFont="1" applyAlignment="1" applyProtection="1">
      <protection locked="0"/>
    </xf>
    <xf numFmtId="0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3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73" fontId="0" fillId="0" borderId="0" xfId="2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174" fontId="0" fillId="0" borderId="0" xfId="1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171" fontId="2" fillId="0" borderId="0" xfId="0" applyNumberFormat="1" applyFont="1" applyAlignment="1" applyProtection="1">
      <protection locked="0"/>
    </xf>
    <xf numFmtId="3" fontId="2" fillId="0" borderId="0" xfId="0" quotePrefix="1" applyNumberFormat="1" applyFont="1" applyAlignment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Protection="1">
      <protection locked="0"/>
    </xf>
    <xf numFmtId="164" fontId="11" fillId="0" borderId="0" xfId="0" applyNumberFormat="1" applyFont="1" applyAlignment="1" applyProtection="1">
      <protection locked="0"/>
    </xf>
    <xf numFmtId="38" fontId="2" fillId="0" borderId="0" xfId="0" applyNumberFormat="1" applyFont="1" applyAlignment="1" applyProtection="1">
      <protection locked="0"/>
    </xf>
    <xf numFmtId="0" fontId="2" fillId="0" borderId="1" xfId="0" applyNumberFormat="1" applyFont="1" applyBorder="1" applyProtection="1">
      <protection locked="0"/>
    </xf>
    <xf numFmtId="175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Protection="1">
      <protection locked="0"/>
    </xf>
    <xf numFmtId="1" fontId="2" fillId="0" borderId="0" xfId="0" applyNumberFormat="1" applyFont="1" applyFill="1" applyBorder="1" applyProtection="1"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protection locked="0"/>
    </xf>
    <xf numFmtId="164" fontId="2" fillId="0" borderId="0" xfId="3" applyNumberFormat="1" applyFont="1" applyAlignment="1" applyProtection="1">
      <protection locked="0"/>
    </xf>
    <xf numFmtId="175" fontId="2" fillId="0" borderId="0" xfId="0" applyNumberFormat="1" applyFont="1" applyFill="1" applyBorder="1" applyAlignment="1" applyProtection="1">
      <protection locked="0"/>
    </xf>
    <xf numFmtId="175" fontId="2" fillId="0" borderId="0" xfId="0" applyNumberFormat="1" applyFont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2" fillId="0" borderId="0" xfId="3" applyNumberFormat="1" applyFont="1" applyProtection="1">
      <protection locked="0"/>
    </xf>
    <xf numFmtId="164" fontId="2" fillId="0" borderId="0" xfId="3" applyFont="1" applyFill="1" applyAlignment="1" applyProtection="1">
      <alignment horizontal="center"/>
      <protection locked="0"/>
    </xf>
    <xf numFmtId="164" fontId="2" fillId="0" borderId="0" xfId="3" applyFont="1" applyFill="1" applyAlignment="1" applyProtection="1">
      <alignment horizontal="center" vertical="top" wrapText="1"/>
      <protection locked="0"/>
    </xf>
    <xf numFmtId="164" fontId="2" fillId="0" borderId="0" xfId="3" applyFont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left" indent="2"/>
      <protection locked="0"/>
    </xf>
    <xf numFmtId="164" fontId="2" fillId="0" borderId="0" xfId="3" applyFont="1" applyFill="1" applyAlignment="1" applyProtection="1">
      <alignment horizontal="left" indent="2"/>
      <protection locked="0"/>
    </xf>
    <xf numFmtId="0" fontId="2" fillId="2" borderId="0" xfId="0" applyNumberFormat="1" applyFont="1" applyFill="1" applyProtection="1"/>
    <xf numFmtId="3" fontId="2" fillId="3" borderId="0" xfId="0" applyNumberFormat="1" applyFont="1" applyFill="1" applyBorder="1" applyAlignment="1" applyProtection="1"/>
    <xf numFmtId="37" fontId="14" fillId="3" borderId="0" xfId="3" applyNumberFormat="1" applyFont="1" applyFill="1" applyAlignment="1" applyProtection="1">
      <protection locked="0"/>
    </xf>
    <xf numFmtId="37" fontId="14" fillId="3" borderId="4" xfId="3" applyNumberFormat="1" applyFont="1" applyFill="1" applyBorder="1" applyAlignment="1" applyProtection="1">
      <protection locked="0"/>
    </xf>
    <xf numFmtId="176" fontId="14" fillId="3" borderId="4" xfId="3" applyNumberFormat="1" applyFont="1" applyFill="1" applyBorder="1" applyAlignment="1" applyProtection="1">
      <protection locked="0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38" fontId="17" fillId="0" borderId="0" xfId="0" applyNumberFormat="1" applyFont="1" applyAlignment="1">
      <alignment horizontal="centerContinuous"/>
    </xf>
    <xf numFmtId="0" fontId="17" fillId="0" borderId="0" xfId="0" applyFont="1"/>
    <xf numFmtId="38" fontId="17" fillId="0" borderId="0" xfId="0" applyNumberFormat="1" applyFont="1"/>
    <xf numFmtId="38" fontId="17" fillId="0" borderId="4" xfId="0" applyNumberFormat="1" applyFont="1" applyBorder="1" applyAlignment="1">
      <alignment horizontal="center"/>
    </xf>
    <xf numFmtId="38" fontId="17" fillId="0" borderId="5" xfId="0" applyNumberFormat="1" applyFont="1" applyBorder="1"/>
    <xf numFmtId="0" fontId="18" fillId="0" borderId="0" xfId="0" applyFont="1"/>
    <xf numFmtId="6" fontId="17" fillId="0" borderId="2" xfId="0" applyNumberFormat="1" applyFont="1" applyBorder="1"/>
    <xf numFmtId="0" fontId="17" fillId="4" borderId="0" xfId="0" applyFont="1" applyFill="1"/>
    <xf numFmtId="38" fontId="17" fillId="4" borderId="0" xfId="0" applyNumberFormat="1" applyFont="1" applyFill="1"/>
    <xf numFmtId="38" fontId="16" fillId="0" borderId="0" xfId="0" applyNumberFormat="1" applyFont="1" applyAlignment="1">
      <alignment horizontal="centerContinuous"/>
    </xf>
    <xf numFmtId="0" fontId="17" fillId="0" borderId="0" xfId="0" applyFont="1" applyBorder="1" applyAlignment="1">
      <alignment horizontal="center"/>
    </xf>
    <xf numFmtId="38" fontId="17" fillId="0" borderId="0" xfId="0" applyNumberFormat="1" applyFont="1" applyAlignment="1">
      <alignment horizontal="center"/>
    </xf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38" fontId="17" fillId="0" borderId="2" xfId="0" applyNumberFormat="1" applyFont="1" applyBorder="1"/>
    <xf numFmtId="38" fontId="17" fillId="0" borderId="0" xfId="0" applyNumberFormat="1" applyFont="1" applyBorder="1"/>
    <xf numFmtId="38" fontId="17" fillId="4" borderId="0" xfId="0" applyNumberFormat="1" applyFont="1" applyFill="1" applyBorder="1"/>
    <xf numFmtId="42" fontId="17" fillId="0" borderId="0" xfId="0" applyNumberFormat="1" applyFont="1" applyFill="1"/>
    <xf numFmtId="38" fontId="17" fillId="0" borderId="0" xfId="0" applyNumberFormat="1" applyFont="1" applyFill="1"/>
    <xf numFmtId="38" fontId="17" fillId="0" borderId="5" xfId="0" applyNumberFormat="1" applyFont="1" applyFill="1" applyBorder="1"/>
    <xf numFmtId="177" fontId="17" fillId="0" borderId="0" xfId="0" applyNumberFormat="1" applyFont="1" applyFill="1"/>
    <xf numFmtId="178" fontId="17" fillId="0" borderId="0" xfId="0" applyNumberFormat="1" applyFont="1" applyFill="1"/>
    <xf numFmtId="0" fontId="17" fillId="0" borderId="0" xfId="0" applyFont="1" applyFill="1"/>
    <xf numFmtId="0" fontId="2" fillId="0" borderId="0" xfId="3" applyNumberFormat="1" applyFont="1" applyFill="1" applyAlignment="1" applyProtection="1">
      <alignment vertical="top" wrapText="1"/>
      <protection locked="0"/>
    </xf>
    <xf numFmtId="0" fontId="2" fillId="0" borderId="0" xfId="3" applyNumberFormat="1" applyFont="1" applyFill="1" applyAlignment="1" applyProtection="1">
      <alignment horizontal="left" wrapText="1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_Attachment O &amp; GG Final 11_11_09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MDU%20Actual%20Attachment%20O%20@%2010.82%25%20R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DU Attachment O 2016 Actuals"/>
      <sheetName val="2016 True-Up"/>
      <sheetName val="Variances &gt; 20%"/>
      <sheetName val="2014 TU "/>
      <sheetName val="12 Coincident Peaks"/>
      <sheetName val="Reconcile FF1 to Juris-Plt"/>
      <sheetName val="Plant in Service"/>
      <sheetName val="General Plant"/>
      <sheetName val="Reconcile FF1 to Comm Plt"/>
      <sheetName val="Common Plant"/>
      <sheetName val="Recon FF1 to Juris Acc Res"/>
      <sheetName val="Accumulated Reserve"/>
      <sheetName val="General Reserve"/>
      <sheetName val="Reconcile FF1 to Com Res"/>
      <sheetName val="Common Reserve"/>
      <sheetName val="CWIP 13 Month Balances"/>
      <sheetName val="Avg Adjustments to RB"/>
      <sheetName val="Adj to RB - Reconcile to F1"/>
      <sheetName val="Materials &amp; Supplies"/>
      <sheetName val="Prepayments"/>
      <sheetName val="Transmission O&amp;M"/>
      <sheetName val="A&amp;G"/>
      <sheetName val="Reg Com &amp; NonSafety Ad Exp"/>
      <sheetName val="Other O&amp;M Expenses"/>
      <sheetName val="Production Related Trans"/>
      <sheetName val="Wages &amp; Salary"/>
      <sheetName val="Common Plant Allocator"/>
      <sheetName val="Cap Structure 2016"/>
      <sheetName val="Acct 454"/>
      <sheetName val="Acct 456.1"/>
      <sheetName val="MISO Revenues - 456.1"/>
      <sheetName val="SIT Calculation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A4" t="str">
            <v>Twelve Months Ended December 31, 2016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>
        <row r="18">
          <cell r="B18">
            <v>5091666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7"/>
  <sheetViews>
    <sheetView tabSelected="1" topLeftCell="A7" zoomScale="80" zoomScaleNormal="80" workbookViewId="0">
      <selection activeCell="J27" sqref="J27"/>
    </sheetView>
  </sheetViews>
  <sheetFormatPr defaultColWidth="9.140625" defaultRowHeight="15.75"/>
  <cols>
    <col min="1" max="1" width="7.7109375" style="66" customWidth="1"/>
    <col min="2" max="2" width="1.85546875" style="66" customWidth="1"/>
    <col min="3" max="3" width="55.28515625" style="66" customWidth="1"/>
    <col min="4" max="4" width="35.140625" style="66" customWidth="1"/>
    <col min="5" max="5" width="17.85546875" style="66" customWidth="1"/>
    <col min="6" max="6" width="7.7109375" style="66" customWidth="1"/>
    <col min="7" max="7" width="7.28515625" style="66" customWidth="1"/>
    <col min="8" max="8" width="13.7109375" style="66" customWidth="1"/>
    <col min="9" max="9" width="7.42578125" style="66" customWidth="1"/>
    <col min="10" max="10" width="16.42578125" style="66" customWidth="1"/>
    <col min="11" max="11" width="4.42578125" style="66" customWidth="1"/>
    <col min="12" max="12" width="11.140625" style="110" customWidth="1"/>
    <col min="13" max="13" width="0.85546875" style="66" customWidth="1"/>
    <col min="14" max="14" width="14.140625" style="66" customWidth="1"/>
    <col min="15" max="15" width="15.140625" style="66" customWidth="1"/>
    <col min="16" max="16" width="9.140625" style="66"/>
    <col min="17" max="17" width="20" style="66" customWidth="1"/>
    <col min="18" max="16384" width="9.140625" style="66"/>
  </cols>
  <sheetData>
    <row r="1" spans="1:17">
      <c r="C1" s="67"/>
      <c r="D1" s="67"/>
      <c r="E1" s="68"/>
      <c r="F1" s="67"/>
      <c r="G1" s="67"/>
      <c r="H1" s="67"/>
      <c r="I1" s="69"/>
      <c r="J1" s="70"/>
      <c r="K1" s="70"/>
      <c r="L1" s="71"/>
    </row>
    <row r="2" spans="1:17">
      <c r="C2" s="67"/>
      <c r="D2" s="67"/>
      <c r="E2" s="68"/>
      <c r="F2" s="67"/>
      <c r="G2" s="67"/>
      <c r="H2" s="67"/>
      <c r="I2" s="69"/>
      <c r="J2" s="69"/>
      <c r="L2" s="70" t="s">
        <v>0</v>
      </c>
    </row>
    <row r="3" spans="1:17">
      <c r="C3" s="67"/>
      <c r="D3" s="67"/>
      <c r="E3" s="68"/>
      <c r="F3" s="67"/>
      <c r="G3" s="67"/>
      <c r="H3" s="67"/>
      <c r="I3" s="69"/>
      <c r="J3" s="69"/>
      <c r="K3" s="69"/>
      <c r="L3" s="71" t="s">
        <v>1</v>
      </c>
    </row>
    <row r="4" spans="1:17">
      <c r="C4" s="67"/>
      <c r="D4" s="67"/>
      <c r="E4" s="68"/>
      <c r="F4" s="67"/>
      <c r="G4" s="67"/>
      <c r="H4" s="67"/>
      <c r="I4" s="69"/>
      <c r="J4" s="69"/>
      <c r="K4" s="69"/>
      <c r="L4" s="2"/>
      <c r="N4" s="72"/>
      <c r="O4" s="73"/>
      <c r="P4" s="73"/>
      <c r="Q4" s="73"/>
    </row>
    <row r="5" spans="1:17">
      <c r="C5" s="67" t="s">
        <v>2</v>
      </c>
      <c r="D5" s="67"/>
      <c r="E5" s="68" t="s">
        <v>3</v>
      </c>
      <c r="F5" s="67"/>
      <c r="G5" s="67"/>
      <c r="H5" s="67"/>
      <c r="I5" s="69"/>
      <c r="J5" s="1" t="s">
        <v>401</v>
      </c>
      <c r="K5" s="1"/>
      <c r="L5" s="1"/>
      <c r="N5" s="72"/>
      <c r="O5" s="73"/>
      <c r="P5" s="73"/>
      <c r="Q5" s="73"/>
    </row>
    <row r="6" spans="1:17">
      <c r="C6" s="67"/>
      <c r="D6" s="74" t="s">
        <v>4</v>
      </c>
      <c r="E6" s="74" t="s">
        <v>5</v>
      </c>
      <c r="F6" s="74"/>
      <c r="G6" s="74"/>
      <c r="H6" s="74"/>
      <c r="I6" s="69"/>
      <c r="J6" s="69"/>
      <c r="K6" s="69"/>
      <c r="L6" s="2"/>
      <c r="N6" s="75"/>
      <c r="O6" s="73"/>
      <c r="P6" s="73"/>
      <c r="Q6" s="73"/>
    </row>
    <row r="7" spans="1:17">
      <c r="C7" s="69"/>
      <c r="D7" s="69"/>
      <c r="E7" s="69"/>
      <c r="F7" s="69"/>
      <c r="G7" s="69"/>
      <c r="H7" s="69"/>
      <c r="I7" s="69"/>
      <c r="J7" s="69"/>
      <c r="K7" s="69"/>
      <c r="L7" s="2"/>
      <c r="N7" s="75"/>
      <c r="O7" s="73"/>
      <c r="P7" s="73"/>
      <c r="Q7" s="73"/>
    </row>
    <row r="8" spans="1:17">
      <c r="A8" s="76"/>
      <c r="C8" s="69"/>
      <c r="D8" s="69"/>
      <c r="E8" s="77" t="s">
        <v>350</v>
      </c>
      <c r="F8" s="78"/>
      <c r="G8" s="78"/>
      <c r="H8" s="69"/>
      <c r="I8" s="69"/>
      <c r="J8" s="69"/>
      <c r="K8" s="69"/>
      <c r="L8" s="2"/>
      <c r="N8" s="75"/>
      <c r="O8" s="73"/>
      <c r="P8" s="73"/>
      <c r="Q8" s="73"/>
    </row>
    <row r="9" spans="1:17">
      <c r="A9" s="76"/>
      <c r="C9" s="69"/>
      <c r="D9" s="69"/>
      <c r="E9" s="79"/>
      <c r="F9" s="69"/>
      <c r="G9" s="69"/>
      <c r="H9" s="69"/>
      <c r="I9" s="69"/>
      <c r="J9" s="69"/>
      <c r="K9" s="69"/>
      <c r="L9" s="2"/>
      <c r="N9" s="75"/>
      <c r="O9" s="73"/>
      <c r="P9" s="73"/>
      <c r="Q9" s="73"/>
    </row>
    <row r="10" spans="1:17">
      <c r="A10" s="76" t="s">
        <v>6</v>
      </c>
      <c r="C10" s="69"/>
      <c r="D10" s="69"/>
      <c r="E10" s="79"/>
      <c r="F10" s="69"/>
      <c r="G10" s="69"/>
      <c r="H10" s="69"/>
      <c r="I10" s="69"/>
      <c r="J10" s="76" t="s">
        <v>7</v>
      </c>
      <c r="K10" s="69"/>
      <c r="L10" s="2"/>
      <c r="N10" s="75"/>
      <c r="O10" s="73"/>
      <c r="P10" s="73"/>
      <c r="Q10" s="73"/>
    </row>
    <row r="11" spans="1:17" ht="16.5" thickBot="1">
      <c r="A11" s="80" t="s">
        <v>8</v>
      </c>
      <c r="C11" s="69"/>
      <c r="D11" s="69"/>
      <c r="E11" s="69"/>
      <c r="F11" s="69"/>
      <c r="G11" s="69"/>
      <c r="H11" s="69"/>
      <c r="I11" s="69"/>
      <c r="J11" s="80" t="s">
        <v>9</v>
      </c>
      <c r="K11" s="69"/>
      <c r="L11" s="2"/>
    </row>
    <row r="12" spans="1:17">
      <c r="A12" s="76">
        <v>1</v>
      </c>
      <c r="C12" s="69" t="s">
        <v>10</v>
      </c>
      <c r="D12" s="69"/>
      <c r="E12" s="81"/>
      <c r="F12" s="69"/>
      <c r="G12" s="69"/>
      <c r="H12" s="69"/>
      <c r="I12" s="69"/>
      <c r="J12" s="17">
        <f>+J225</f>
        <v>32704180.706946615</v>
      </c>
      <c r="K12" s="69"/>
      <c r="L12" s="2"/>
    </row>
    <row r="13" spans="1:17">
      <c r="A13" s="76"/>
      <c r="C13" s="69"/>
      <c r="D13" s="69"/>
      <c r="E13" s="69"/>
      <c r="F13" s="69"/>
      <c r="G13" s="69"/>
      <c r="H13" s="69"/>
      <c r="I13" s="69"/>
      <c r="J13" s="81"/>
      <c r="K13" s="69"/>
      <c r="L13" s="2"/>
    </row>
    <row r="14" spans="1:17">
      <c r="A14" s="76"/>
      <c r="C14" s="69"/>
      <c r="D14" s="69"/>
      <c r="E14" s="69"/>
      <c r="F14" s="69"/>
      <c r="G14" s="69"/>
      <c r="H14" s="69"/>
      <c r="I14" s="69"/>
      <c r="J14" s="81"/>
      <c r="K14" s="69"/>
      <c r="L14" s="2"/>
    </row>
    <row r="15" spans="1:17" ht="16.5" thickBot="1">
      <c r="A15" s="76" t="s">
        <v>4</v>
      </c>
      <c r="C15" s="67" t="s">
        <v>11</v>
      </c>
      <c r="D15" s="82" t="s">
        <v>12</v>
      </c>
      <c r="E15" s="80" t="s">
        <v>13</v>
      </c>
      <c r="F15" s="74"/>
      <c r="G15" s="83" t="s">
        <v>14</v>
      </c>
      <c r="H15" s="83"/>
      <c r="I15" s="69"/>
      <c r="J15" s="81"/>
      <c r="K15" s="69"/>
      <c r="L15" s="2"/>
    </row>
    <row r="16" spans="1:17">
      <c r="A16" s="76">
        <v>2</v>
      </c>
      <c r="C16" s="67" t="s">
        <v>15</v>
      </c>
      <c r="D16" s="74" t="s">
        <v>16</v>
      </c>
      <c r="E16" s="8">
        <f>J303</f>
        <v>20860</v>
      </c>
      <c r="F16" s="74"/>
      <c r="G16" s="74" t="s">
        <v>17</v>
      </c>
      <c r="H16" s="18">
        <f>J251</f>
        <v>0.93314209828360362</v>
      </c>
      <c r="I16" s="74"/>
      <c r="J16" s="8">
        <f>+H16*E16</f>
        <v>19465.344170195971</v>
      </c>
      <c r="K16" s="69"/>
      <c r="L16" s="2"/>
    </row>
    <row r="17" spans="1:17">
      <c r="A17" s="76">
        <v>3</v>
      </c>
      <c r="C17" s="67" t="s">
        <v>18</v>
      </c>
      <c r="D17" s="74" t="s">
        <v>19</v>
      </c>
      <c r="E17" s="8">
        <f>J310</f>
        <v>13317147.999999998</v>
      </c>
      <c r="F17" s="74"/>
      <c r="G17" s="8" t="str">
        <f t="shared" ref="G17:H19" si="0">+G16</f>
        <v>TP</v>
      </c>
      <c r="H17" s="18">
        <f t="shared" si="0"/>
        <v>0.93314209828360362</v>
      </c>
      <c r="I17" s="74"/>
      <c r="J17" s="8">
        <f>+H17*E17</f>
        <v>12426791.427873293</v>
      </c>
      <c r="K17" s="69"/>
      <c r="L17" s="2"/>
    </row>
    <row r="18" spans="1:17">
      <c r="A18" s="76">
        <v>4</v>
      </c>
      <c r="C18" s="85" t="s">
        <v>20</v>
      </c>
      <c r="D18" s="74"/>
      <c r="E18" s="50">
        <v>0</v>
      </c>
      <c r="F18" s="74"/>
      <c r="G18" s="8" t="str">
        <f t="shared" si="0"/>
        <v>TP</v>
      </c>
      <c r="H18" s="18">
        <f t="shared" si="0"/>
        <v>0.93314209828360362</v>
      </c>
      <c r="I18" s="74"/>
      <c r="J18" s="8">
        <f>+H18*E18</f>
        <v>0</v>
      </c>
      <c r="K18" s="69"/>
      <c r="L18" s="2"/>
      <c r="N18" s="72"/>
      <c r="O18" s="73"/>
      <c r="P18" s="73"/>
      <c r="Q18" s="73"/>
    </row>
    <row r="19" spans="1:17" ht="16.5" thickBot="1">
      <c r="A19" s="76">
        <v>5</v>
      </c>
      <c r="C19" s="85" t="s">
        <v>21</v>
      </c>
      <c r="D19" s="74"/>
      <c r="E19" s="50">
        <v>0</v>
      </c>
      <c r="F19" s="74"/>
      <c r="G19" s="8" t="str">
        <f t="shared" si="0"/>
        <v>TP</v>
      </c>
      <c r="H19" s="18">
        <f t="shared" si="0"/>
        <v>0.93314209828360362</v>
      </c>
      <c r="I19" s="74"/>
      <c r="J19" s="19">
        <f>+H19*E19</f>
        <v>0</v>
      </c>
      <c r="K19" s="69"/>
      <c r="L19" s="2"/>
      <c r="N19" s="72"/>
      <c r="O19" s="73"/>
      <c r="P19" s="73"/>
      <c r="Q19" s="73"/>
    </row>
    <row r="20" spans="1:17">
      <c r="A20" s="76">
        <v>6</v>
      </c>
      <c r="C20" s="67" t="s">
        <v>22</v>
      </c>
      <c r="D20" s="69"/>
      <c r="E20" s="87" t="s">
        <v>4</v>
      </c>
      <c r="F20" s="74"/>
      <c r="G20" s="74"/>
      <c r="H20" s="84"/>
      <c r="I20" s="74"/>
      <c r="J20" s="8">
        <f>SUM(J16:J19)</f>
        <v>12446256.772043489</v>
      </c>
      <c r="K20" s="69"/>
      <c r="L20" s="2"/>
      <c r="N20" s="75"/>
      <c r="O20" s="73"/>
      <c r="P20" s="73"/>
      <c r="Q20" s="73"/>
    </row>
    <row r="21" spans="1:17">
      <c r="A21" s="76"/>
      <c r="D21" s="69"/>
      <c r="E21" s="74" t="s">
        <v>4</v>
      </c>
      <c r="F21" s="69"/>
      <c r="G21" s="69"/>
      <c r="H21" s="84"/>
      <c r="I21" s="69"/>
      <c r="K21" s="69"/>
      <c r="L21" s="2"/>
      <c r="N21" s="75"/>
      <c r="O21" s="73"/>
      <c r="P21" s="73"/>
      <c r="Q21" s="73"/>
    </row>
    <row r="22" spans="1:17">
      <c r="A22" s="88" t="s">
        <v>23</v>
      </c>
      <c r="C22" s="89" t="s">
        <v>24</v>
      </c>
      <c r="D22" s="90"/>
      <c r="E22" s="91" t="s">
        <v>4</v>
      </c>
      <c r="F22" s="90"/>
      <c r="G22" s="90"/>
      <c r="H22" s="92"/>
      <c r="I22" s="90"/>
      <c r="J22" s="51">
        <v>20650386</v>
      </c>
      <c r="K22" s="69"/>
      <c r="L22" s="2"/>
      <c r="N22" s="75"/>
      <c r="O22" s="73"/>
      <c r="P22" s="73"/>
      <c r="Q22" s="73"/>
    </row>
    <row r="23" spans="1:17" ht="16.5" thickBot="1">
      <c r="A23" s="88" t="s">
        <v>25</v>
      </c>
      <c r="C23" s="89" t="s">
        <v>26</v>
      </c>
      <c r="D23" s="90" t="s">
        <v>27</v>
      </c>
      <c r="E23" s="91"/>
      <c r="F23" s="90"/>
      <c r="G23" s="90"/>
      <c r="H23" s="92"/>
      <c r="I23" s="90"/>
      <c r="J23" s="52">
        <v>24419516</v>
      </c>
      <c r="K23" s="69"/>
      <c r="L23" s="2"/>
      <c r="N23" s="75"/>
      <c r="O23" s="73"/>
      <c r="P23" s="73"/>
      <c r="Q23" s="73"/>
    </row>
    <row r="24" spans="1:17">
      <c r="A24" s="88" t="s">
        <v>28</v>
      </c>
      <c r="C24" s="89" t="s">
        <v>29</v>
      </c>
      <c r="D24" s="90" t="s">
        <v>30</v>
      </c>
      <c r="E24" s="91"/>
      <c r="F24" s="90"/>
      <c r="G24" s="90"/>
      <c r="H24" s="92"/>
      <c r="I24" s="90"/>
      <c r="J24" s="21">
        <f>J22-J23</f>
        <v>-3769130</v>
      </c>
      <c r="K24" s="69"/>
      <c r="L24" s="2"/>
      <c r="N24" s="75"/>
      <c r="O24" s="73"/>
      <c r="P24" s="73"/>
      <c r="Q24" s="73"/>
    </row>
    <row r="25" spans="1:17">
      <c r="A25" s="88" t="s">
        <v>31</v>
      </c>
      <c r="C25" s="89" t="s">
        <v>32</v>
      </c>
      <c r="D25" s="90" t="s">
        <v>356</v>
      </c>
      <c r="E25" s="91"/>
      <c r="F25" s="90"/>
      <c r="G25" s="90"/>
      <c r="H25" s="92"/>
      <c r="I25" s="90"/>
      <c r="J25" s="21">
        <f>E396</f>
        <v>388897.24800000002</v>
      </c>
      <c r="K25" s="69"/>
      <c r="L25" s="2"/>
      <c r="N25" s="93"/>
      <c r="O25" s="94"/>
      <c r="P25" s="73"/>
      <c r="Q25" s="73"/>
    </row>
    <row r="26" spans="1:17" ht="16.5" thickBot="1">
      <c r="A26" s="88" t="s">
        <v>33</v>
      </c>
      <c r="C26" s="89" t="s">
        <v>34</v>
      </c>
      <c r="D26" s="90"/>
      <c r="E26" s="91"/>
      <c r="F26" s="90"/>
      <c r="G26" s="90"/>
      <c r="H26" s="92"/>
      <c r="I26" s="90"/>
      <c r="J26" s="52">
        <v>-219039</v>
      </c>
      <c r="K26" s="69"/>
      <c r="L26" s="2"/>
      <c r="N26" s="95"/>
      <c r="O26" s="95"/>
      <c r="P26" s="73"/>
      <c r="Q26" s="73"/>
    </row>
    <row r="27" spans="1:17">
      <c r="A27" s="76"/>
      <c r="C27" s="67"/>
      <c r="D27" s="69"/>
      <c r="J27" s="74"/>
      <c r="K27" s="69"/>
      <c r="L27" s="2"/>
      <c r="N27" s="96"/>
      <c r="O27" s="96"/>
      <c r="P27" s="73"/>
      <c r="Q27" s="73"/>
    </row>
    <row r="28" spans="1:17" ht="16.5" thickBot="1">
      <c r="A28" s="76">
        <v>7</v>
      </c>
      <c r="C28" s="67" t="s">
        <v>35</v>
      </c>
      <c r="D28" s="97" t="s">
        <v>36</v>
      </c>
      <c r="E28" s="87"/>
      <c r="F28" s="74"/>
      <c r="G28" s="74"/>
      <c r="H28" s="74"/>
      <c r="I28" s="74"/>
      <c r="J28" s="22">
        <f>+J12-J20+J24+J25+J26</f>
        <v>16658652.182903126</v>
      </c>
      <c r="K28" s="69"/>
      <c r="L28" s="2"/>
      <c r="N28" s="98"/>
      <c r="O28" s="98"/>
      <c r="P28" s="73"/>
      <c r="Q28" s="73"/>
    </row>
    <row r="29" spans="1:17" ht="16.5" thickTop="1">
      <c r="A29" s="76"/>
      <c r="D29" s="69"/>
      <c r="E29" s="87"/>
      <c r="F29" s="74"/>
      <c r="G29" s="74"/>
      <c r="H29" s="74"/>
      <c r="I29" s="74"/>
      <c r="K29" s="69"/>
      <c r="L29" s="2"/>
      <c r="N29" s="99"/>
      <c r="O29" s="100"/>
      <c r="P29" s="73"/>
      <c r="Q29" s="73"/>
    </row>
    <row r="30" spans="1:17">
      <c r="A30" s="76"/>
      <c r="D30" s="74"/>
      <c r="J30" s="74"/>
      <c r="K30" s="69"/>
      <c r="L30" s="2"/>
      <c r="N30" s="93"/>
      <c r="O30" s="94"/>
      <c r="P30" s="73"/>
      <c r="Q30" s="73"/>
    </row>
    <row r="31" spans="1:17">
      <c r="A31" s="76"/>
      <c r="C31" s="67" t="s">
        <v>37</v>
      </c>
      <c r="D31" s="69"/>
      <c r="E31" s="81"/>
      <c r="F31" s="69"/>
      <c r="G31" s="69"/>
      <c r="H31" s="69"/>
      <c r="I31" s="69"/>
      <c r="J31" s="81"/>
      <c r="K31" s="69"/>
      <c r="L31" s="2"/>
      <c r="N31" s="75"/>
      <c r="O31" s="73"/>
      <c r="P31" s="73"/>
      <c r="Q31" s="73"/>
    </row>
    <row r="32" spans="1:17">
      <c r="A32" s="76">
        <v>8</v>
      </c>
      <c r="C32" s="67" t="s">
        <v>38</v>
      </c>
      <c r="E32" s="101"/>
      <c r="F32" s="69"/>
      <c r="G32" s="69"/>
      <c r="H32" s="2" t="s">
        <v>39</v>
      </c>
      <c r="I32" s="69"/>
      <c r="J32" s="55">
        <v>492154</v>
      </c>
      <c r="K32" s="69"/>
      <c r="L32" s="2"/>
      <c r="N32" s="102"/>
      <c r="O32" s="73"/>
      <c r="P32" s="73"/>
      <c r="Q32" s="73"/>
    </row>
    <row r="33" spans="1:12">
      <c r="A33" s="76">
        <v>9</v>
      </c>
      <c r="C33" s="67" t="s">
        <v>40</v>
      </c>
      <c r="D33" s="74"/>
      <c r="E33" s="74"/>
      <c r="F33" s="74"/>
      <c r="G33" s="74"/>
      <c r="H33" s="82" t="s">
        <v>41</v>
      </c>
      <c r="I33" s="74"/>
      <c r="J33" s="55">
        <v>0</v>
      </c>
      <c r="K33" s="69"/>
      <c r="L33" s="2"/>
    </row>
    <row r="34" spans="1:12">
      <c r="A34" s="76">
        <v>10</v>
      </c>
      <c r="C34" s="85" t="s">
        <v>42</v>
      </c>
      <c r="D34" s="69"/>
      <c r="E34" s="103"/>
      <c r="F34" s="69"/>
      <c r="H34" s="2" t="s">
        <v>43</v>
      </c>
      <c r="I34" s="69"/>
      <c r="J34" s="55">
        <v>115272</v>
      </c>
      <c r="K34" s="69"/>
      <c r="L34" s="2"/>
    </row>
    <row r="35" spans="1:12">
      <c r="A35" s="76">
        <v>11</v>
      </c>
      <c r="C35" s="67" t="s">
        <v>44</v>
      </c>
      <c r="D35" s="69"/>
      <c r="E35" s="69"/>
      <c r="F35" s="69"/>
      <c r="H35" s="2" t="s">
        <v>45</v>
      </c>
      <c r="I35" s="69"/>
      <c r="J35" s="54">
        <v>0</v>
      </c>
      <c r="K35" s="69"/>
      <c r="L35" s="2"/>
    </row>
    <row r="36" spans="1:12">
      <c r="A36" s="76">
        <v>12</v>
      </c>
      <c r="C36" s="85" t="s">
        <v>46</v>
      </c>
      <c r="D36" s="69"/>
      <c r="E36" s="69"/>
      <c r="F36" s="69"/>
      <c r="G36" s="69"/>
      <c r="H36" s="69"/>
      <c r="I36" s="69"/>
      <c r="J36" s="54">
        <v>0</v>
      </c>
      <c r="K36" s="69"/>
      <c r="L36" s="2"/>
    </row>
    <row r="37" spans="1:12">
      <c r="A37" s="76">
        <v>13</v>
      </c>
      <c r="C37" s="85" t="s">
        <v>47</v>
      </c>
      <c r="D37" s="69"/>
      <c r="E37" s="69"/>
      <c r="F37" s="69"/>
      <c r="G37" s="69"/>
      <c r="H37" s="2"/>
      <c r="I37" s="69"/>
      <c r="J37" s="54">
        <v>0</v>
      </c>
      <c r="K37" s="69"/>
      <c r="L37" s="2"/>
    </row>
    <row r="38" spans="1:12" ht="16.5" thickBot="1">
      <c r="A38" s="76">
        <v>14</v>
      </c>
      <c r="C38" s="85" t="s">
        <v>48</v>
      </c>
      <c r="D38" s="69"/>
      <c r="E38" s="69"/>
      <c r="F38" s="69"/>
      <c r="G38" s="69"/>
      <c r="H38" s="69"/>
      <c r="I38" s="69"/>
      <c r="J38" s="53">
        <v>0</v>
      </c>
      <c r="K38" s="69"/>
      <c r="L38" s="2"/>
    </row>
    <row r="39" spans="1:12">
      <c r="A39" s="76">
        <v>15</v>
      </c>
      <c r="C39" s="67" t="s">
        <v>49</v>
      </c>
      <c r="D39" s="69"/>
      <c r="E39" s="69"/>
      <c r="F39" s="69"/>
      <c r="G39" s="69"/>
      <c r="H39" s="69"/>
      <c r="I39" s="69"/>
      <c r="J39" s="16">
        <f>SUM(J32:J38)</f>
        <v>607426</v>
      </c>
      <c r="K39" s="69"/>
      <c r="L39" s="2"/>
    </row>
    <row r="40" spans="1:12">
      <c r="A40" s="76"/>
      <c r="C40" s="67"/>
      <c r="D40" s="69"/>
      <c r="E40" s="69"/>
      <c r="F40" s="69"/>
      <c r="G40" s="69"/>
      <c r="H40" s="69"/>
      <c r="I40" s="69"/>
      <c r="J40" s="81"/>
      <c r="K40" s="69"/>
      <c r="L40" s="2"/>
    </row>
    <row r="41" spans="1:12">
      <c r="A41" s="76">
        <v>16</v>
      </c>
      <c r="C41" s="67" t="s">
        <v>50</v>
      </c>
      <c r="D41" s="69" t="s">
        <v>51</v>
      </c>
      <c r="E41" s="23">
        <f>IF(J39&gt;0,J28/J39,0)</f>
        <v>27.424990341050805</v>
      </c>
      <c r="F41" s="69"/>
      <c r="G41" s="69"/>
      <c r="H41" s="69"/>
      <c r="I41" s="69"/>
      <c r="K41" s="69"/>
      <c r="L41" s="2"/>
    </row>
    <row r="42" spans="1:12">
      <c r="A42" s="76">
        <v>17</v>
      </c>
      <c r="C42" s="67" t="s">
        <v>52</v>
      </c>
      <c r="D42" s="69" t="s">
        <v>53</v>
      </c>
      <c r="E42" s="23">
        <f>+E41/12</f>
        <v>2.2854158617542337</v>
      </c>
      <c r="F42" s="69"/>
      <c r="G42" s="69"/>
      <c r="H42" s="69"/>
      <c r="I42" s="69"/>
      <c r="K42" s="69"/>
      <c r="L42" s="2"/>
    </row>
    <row r="43" spans="1:12">
      <c r="A43" s="76"/>
      <c r="C43" s="67"/>
      <c r="D43" s="69"/>
      <c r="E43" s="104"/>
      <c r="F43" s="69"/>
      <c r="G43" s="69"/>
      <c r="H43" s="69"/>
      <c r="I43" s="69"/>
      <c r="K43" s="69"/>
      <c r="L43" s="2"/>
    </row>
    <row r="44" spans="1:12">
      <c r="A44" s="76"/>
      <c r="C44" s="67"/>
      <c r="D44" s="69"/>
      <c r="E44" s="105" t="s">
        <v>54</v>
      </c>
      <c r="F44" s="69"/>
      <c r="G44" s="69"/>
      <c r="H44" s="69"/>
      <c r="I44" s="69"/>
      <c r="J44" s="106" t="s">
        <v>55</v>
      </c>
      <c r="K44" s="69"/>
      <c r="L44" s="2"/>
    </row>
    <row r="45" spans="1:12">
      <c r="A45" s="76"/>
      <c r="C45" s="67"/>
      <c r="D45" s="69"/>
      <c r="E45" s="104"/>
      <c r="F45" s="69"/>
      <c r="G45" s="69"/>
      <c r="H45" s="69"/>
      <c r="I45" s="69"/>
      <c r="K45" s="69"/>
      <c r="L45" s="2"/>
    </row>
    <row r="46" spans="1:12">
      <c r="A46" s="76">
        <v>18</v>
      </c>
      <c r="C46" s="67" t="s">
        <v>56</v>
      </c>
      <c r="D46" s="68" t="s">
        <v>57</v>
      </c>
      <c r="E46" s="23">
        <f>+E41/52</f>
        <v>0.52740366040482312</v>
      </c>
      <c r="F46" s="69"/>
      <c r="G46" s="69"/>
      <c r="H46" s="69"/>
      <c r="I46" s="69"/>
      <c r="J46" s="24">
        <f>+E41/52</f>
        <v>0.52740366040482312</v>
      </c>
      <c r="K46" s="69"/>
      <c r="L46" s="2"/>
    </row>
    <row r="47" spans="1:12">
      <c r="A47" s="76">
        <v>19</v>
      </c>
      <c r="C47" s="67" t="s">
        <v>58</v>
      </c>
      <c r="D47" s="68" t="s">
        <v>59</v>
      </c>
      <c r="E47" s="23">
        <f>+E41/260</f>
        <v>0.10548073208096463</v>
      </c>
      <c r="F47" s="69" t="s">
        <v>60</v>
      </c>
      <c r="H47" s="69"/>
      <c r="I47" s="69"/>
      <c r="J47" s="24">
        <f>+E41/365</f>
        <v>7.513695983849536E-2</v>
      </c>
      <c r="K47" s="69"/>
      <c r="L47" s="2"/>
    </row>
    <row r="48" spans="1:12">
      <c r="A48" s="76">
        <v>20</v>
      </c>
      <c r="C48" s="67" t="s">
        <v>61</v>
      </c>
      <c r="D48" s="107" t="s">
        <v>361</v>
      </c>
      <c r="E48" s="25">
        <f>+E41/4160*1000</f>
        <v>6.5925457550602893</v>
      </c>
      <c r="F48" s="69" t="s">
        <v>362</v>
      </c>
      <c r="H48" s="69"/>
      <c r="I48" s="69"/>
      <c r="J48" s="24">
        <f>+E41/8760*1000</f>
        <v>3.1307066599373066</v>
      </c>
      <c r="K48" s="69"/>
      <c r="L48" s="2" t="s">
        <v>4</v>
      </c>
    </row>
    <row r="49" spans="1:12">
      <c r="A49" s="76"/>
      <c r="C49" s="67"/>
      <c r="D49" s="69"/>
      <c r="E49" s="69"/>
      <c r="F49" s="69"/>
      <c r="H49" s="69"/>
      <c r="I49" s="69"/>
      <c r="K49" s="69"/>
      <c r="L49" s="2" t="s">
        <v>4</v>
      </c>
    </row>
    <row r="50" spans="1:12">
      <c r="A50" s="76">
        <v>21</v>
      </c>
      <c r="C50" s="67" t="s">
        <v>62</v>
      </c>
      <c r="D50" s="69" t="s">
        <v>63</v>
      </c>
      <c r="E50" s="3">
        <v>0</v>
      </c>
      <c r="F50" s="108" t="s">
        <v>64</v>
      </c>
      <c r="G50" s="108"/>
      <c r="H50" s="108"/>
      <c r="I50" s="108"/>
      <c r="J50" s="26">
        <f>E50</f>
        <v>0</v>
      </c>
      <c r="K50" s="108" t="s">
        <v>64</v>
      </c>
      <c r="L50" s="2"/>
    </row>
    <row r="51" spans="1:12">
      <c r="A51" s="76">
        <v>22</v>
      </c>
      <c r="C51" s="67"/>
      <c r="D51" s="69"/>
      <c r="E51" s="3">
        <v>0</v>
      </c>
      <c r="F51" s="108" t="s">
        <v>65</v>
      </c>
      <c r="G51" s="108"/>
      <c r="H51" s="108"/>
      <c r="I51" s="108"/>
      <c r="J51" s="26">
        <f>E51</f>
        <v>0</v>
      </c>
      <c r="K51" s="108" t="s">
        <v>65</v>
      </c>
      <c r="L51" s="2"/>
    </row>
    <row r="52" spans="1:12" s="110" customFormat="1">
      <c r="A52" s="109"/>
      <c r="C52" s="111"/>
      <c r="D52" s="2"/>
      <c r="E52" s="112"/>
      <c r="F52" s="112"/>
      <c r="G52" s="112"/>
      <c r="H52" s="112"/>
      <c r="I52" s="112"/>
      <c r="J52" s="112"/>
      <c r="K52" s="112"/>
      <c r="L52" s="2"/>
    </row>
    <row r="53" spans="1:12" s="110" customFormat="1">
      <c r="A53" s="109"/>
      <c r="C53" s="111"/>
      <c r="D53" s="2"/>
      <c r="E53" s="112"/>
      <c r="F53" s="112"/>
      <c r="G53" s="112"/>
      <c r="H53" s="112"/>
      <c r="I53" s="112"/>
      <c r="J53" s="112"/>
      <c r="K53" s="112"/>
      <c r="L53" s="2"/>
    </row>
    <row r="54" spans="1:12" s="110" customFormat="1">
      <c r="A54" s="109"/>
      <c r="C54" s="111"/>
      <c r="D54" s="2"/>
      <c r="E54" s="112"/>
      <c r="F54" s="112"/>
      <c r="G54" s="112"/>
      <c r="H54" s="112"/>
      <c r="I54" s="112"/>
      <c r="J54" s="112"/>
      <c r="K54" s="112"/>
      <c r="L54" s="2"/>
    </row>
    <row r="55" spans="1:12" s="110" customFormat="1">
      <c r="A55" s="109"/>
      <c r="C55" s="111"/>
      <c r="D55" s="2"/>
      <c r="E55" s="112"/>
      <c r="F55" s="112"/>
      <c r="G55" s="112"/>
      <c r="H55" s="112"/>
      <c r="I55" s="112"/>
      <c r="J55" s="112"/>
      <c r="K55" s="112"/>
      <c r="L55" s="2"/>
    </row>
    <row r="56" spans="1:12" s="110" customFormat="1">
      <c r="A56" s="109"/>
      <c r="C56" s="111"/>
      <c r="D56" s="2"/>
      <c r="E56" s="112"/>
      <c r="F56" s="112"/>
      <c r="G56" s="112"/>
      <c r="H56" s="112"/>
      <c r="I56" s="112"/>
      <c r="J56" s="112"/>
      <c r="K56" s="112"/>
      <c r="L56" s="2"/>
    </row>
    <row r="57" spans="1:12" s="110" customFormat="1">
      <c r="A57" s="109"/>
      <c r="C57" s="111"/>
      <c r="D57" s="2"/>
      <c r="E57" s="112"/>
      <c r="F57" s="112"/>
      <c r="G57" s="112"/>
      <c r="H57" s="112"/>
      <c r="I57" s="112"/>
      <c r="J57" s="112"/>
      <c r="K57" s="112"/>
      <c r="L57" s="2"/>
    </row>
    <row r="58" spans="1:12" s="110" customFormat="1">
      <c r="A58" s="109"/>
      <c r="C58" s="111"/>
      <c r="D58" s="2"/>
      <c r="E58" s="112"/>
      <c r="F58" s="112"/>
      <c r="G58" s="112"/>
      <c r="H58" s="112"/>
      <c r="I58" s="112"/>
      <c r="J58" s="112"/>
      <c r="K58" s="112"/>
      <c r="L58" s="2"/>
    </row>
    <row r="59" spans="1:12" s="110" customFormat="1">
      <c r="A59" s="109"/>
      <c r="C59" s="111"/>
      <c r="D59" s="2"/>
      <c r="E59" s="112"/>
      <c r="F59" s="112"/>
      <c r="G59" s="112"/>
      <c r="H59" s="112"/>
      <c r="I59" s="112"/>
      <c r="J59" s="112"/>
      <c r="K59" s="112"/>
      <c r="L59" s="2"/>
    </row>
    <row r="60" spans="1:12" s="110" customFormat="1">
      <c r="A60" s="109"/>
      <c r="C60" s="111"/>
      <c r="D60" s="2"/>
      <c r="E60" s="112"/>
      <c r="F60" s="112"/>
      <c r="G60" s="112"/>
      <c r="H60" s="112"/>
      <c r="I60" s="112"/>
      <c r="J60" s="112"/>
      <c r="K60" s="112"/>
      <c r="L60" s="2"/>
    </row>
    <row r="61" spans="1:12" s="110" customFormat="1">
      <c r="A61" s="109"/>
      <c r="C61" s="111"/>
      <c r="D61" s="2"/>
      <c r="E61" s="112"/>
      <c r="F61" s="112"/>
      <c r="G61" s="112"/>
      <c r="H61" s="112"/>
      <c r="I61" s="112"/>
      <c r="J61" s="112"/>
      <c r="K61" s="112"/>
      <c r="L61" s="2"/>
    </row>
    <row r="62" spans="1:12" s="110" customFormat="1">
      <c r="A62" s="109"/>
      <c r="C62" s="111"/>
      <c r="D62" s="2"/>
      <c r="E62" s="112"/>
      <c r="F62" s="112"/>
      <c r="G62" s="112"/>
      <c r="H62" s="112"/>
      <c r="I62" s="112"/>
      <c r="J62" s="112"/>
      <c r="K62" s="112"/>
      <c r="L62" s="2"/>
    </row>
    <row r="63" spans="1:12" s="110" customFormat="1">
      <c r="A63" s="109"/>
      <c r="C63" s="111"/>
      <c r="D63" s="2"/>
      <c r="E63" s="112"/>
      <c r="F63" s="112"/>
      <c r="G63" s="112"/>
      <c r="H63" s="112"/>
      <c r="I63" s="112"/>
      <c r="J63" s="112"/>
      <c r="K63" s="112"/>
      <c r="L63" s="2"/>
    </row>
    <row r="64" spans="1:12" s="110" customFormat="1">
      <c r="A64" s="109"/>
      <c r="C64" s="111"/>
      <c r="D64" s="2"/>
      <c r="E64" s="112"/>
      <c r="F64" s="112"/>
      <c r="G64" s="112"/>
      <c r="H64" s="112"/>
      <c r="I64" s="112"/>
      <c r="J64" s="112"/>
      <c r="K64" s="112"/>
      <c r="L64" s="2"/>
    </row>
    <row r="65" spans="1:12" s="110" customFormat="1">
      <c r="A65" s="109"/>
      <c r="C65" s="111"/>
      <c r="D65" s="2"/>
      <c r="E65" s="112"/>
      <c r="F65" s="112"/>
      <c r="G65" s="112"/>
      <c r="H65" s="112"/>
      <c r="I65" s="112"/>
      <c r="J65" s="112"/>
      <c r="K65" s="112"/>
      <c r="L65" s="2"/>
    </row>
    <row r="66" spans="1:12" s="110" customFormat="1">
      <c r="A66" s="109"/>
      <c r="C66" s="111"/>
      <c r="D66" s="2"/>
      <c r="E66" s="112"/>
      <c r="F66" s="112"/>
      <c r="G66" s="112"/>
      <c r="H66" s="112"/>
      <c r="I66" s="112"/>
      <c r="J66" s="112"/>
      <c r="K66" s="112"/>
      <c r="L66" s="2"/>
    </row>
    <row r="67" spans="1:12" s="110" customFormat="1">
      <c r="A67" s="109"/>
      <c r="C67" s="111"/>
      <c r="D67" s="2"/>
      <c r="E67" s="112"/>
      <c r="F67" s="112"/>
      <c r="G67" s="112"/>
      <c r="H67" s="112"/>
      <c r="I67" s="112"/>
      <c r="J67" s="112"/>
      <c r="K67" s="112"/>
      <c r="L67" s="2"/>
    </row>
    <row r="68" spans="1:12" s="110" customFormat="1">
      <c r="A68" s="109"/>
      <c r="C68" s="111"/>
      <c r="D68" s="2"/>
      <c r="E68" s="112"/>
      <c r="F68" s="112"/>
      <c r="G68" s="112"/>
      <c r="H68" s="112"/>
      <c r="I68" s="112"/>
      <c r="J68" s="112"/>
      <c r="K68" s="112"/>
      <c r="L68" s="2"/>
    </row>
    <row r="69" spans="1:12" s="110" customFormat="1">
      <c r="A69" s="109"/>
      <c r="C69" s="111"/>
      <c r="D69" s="2"/>
      <c r="E69" s="112"/>
      <c r="F69" s="112"/>
      <c r="G69" s="112"/>
      <c r="H69" s="112"/>
      <c r="I69" s="112"/>
      <c r="J69" s="112"/>
      <c r="K69" s="112"/>
      <c r="L69" s="2"/>
    </row>
    <row r="70" spans="1:12" s="110" customFormat="1">
      <c r="A70" s="109"/>
      <c r="C70" s="111"/>
      <c r="D70" s="2"/>
      <c r="E70" s="112"/>
      <c r="F70" s="112"/>
      <c r="G70" s="112"/>
      <c r="H70" s="112"/>
      <c r="I70" s="112"/>
      <c r="J70" s="112"/>
      <c r="K70" s="112"/>
      <c r="L70" s="2"/>
    </row>
    <row r="71" spans="1:12" s="110" customFormat="1">
      <c r="A71" s="109"/>
      <c r="C71" s="111"/>
      <c r="D71" s="2"/>
      <c r="E71" s="112"/>
      <c r="F71" s="112"/>
      <c r="G71" s="112"/>
      <c r="H71" s="112"/>
      <c r="I71" s="112"/>
      <c r="J71" s="112"/>
      <c r="K71" s="112"/>
      <c r="L71" s="2"/>
    </row>
    <row r="72" spans="1:12" s="110" customFormat="1">
      <c r="A72" s="109"/>
      <c r="C72" s="111"/>
      <c r="D72" s="2"/>
      <c r="E72" s="112"/>
      <c r="F72" s="112"/>
      <c r="G72" s="112"/>
      <c r="H72" s="112"/>
      <c r="I72" s="112"/>
      <c r="J72" s="112"/>
      <c r="K72" s="112"/>
      <c r="L72" s="2"/>
    </row>
    <row r="73" spans="1:12" s="110" customFormat="1">
      <c r="A73" s="109"/>
      <c r="C73" s="111"/>
      <c r="D73" s="2"/>
      <c r="E73" s="112"/>
      <c r="F73" s="112"/>
      <c r="G73" s="112"/>
      <c r="H73" s="112"/>
      <c r="I73" s="112"/>
      <c r="J73" s="112"/>
      <c r="K73" s="112"/>
      <c r="L73" s="2"/>
    </row>
    <row r="74" spans="1:12" s="110" customFormat="1">
      <c r="A74" s="109"/>
      <c r="C74" s="111"/>
      <c r="D74" s="2"/>
      <c r="E74" s="112"/>
      <c r="F74" s="112"/>
      <c r="G74" s="112"/>
      <c r="H74" s="112"/>
      <c r="I74" s="112"/>
      <c r="J74" s="112"/>
      <c r="K74" s="112"/>
      <c r="L74" s="2"/>
    </row>
    <row r="75" spans="1:12" s="110" customFormat="1">
      <c r="A75" s="109"/>
      <c r="C75" s="111"/>
      <c r="D75" s="2"/>
      <c r="E75" s="112"/>
      <c r="F75" s="112"/>
      <c r="G75" s="112"/>
      <c r="H75" s="112"/>
      <c r="I75" s="112"/>
      <c r="J75" s="112"/>
      <c r="K75" s="112"/>
      <c r="L75" s="2"/>
    </row>
    <row r="76" spans="1:12" s="110" customFormat="1">
      <c r="A76" s="109"/>
      <c r="C76" s="111"/>
      <c r="D76" s="2"/>
      <c r="E76" s="112"/>
      <c r="F76" s="112"/>
      <c r="G76" s="112"/>
      <c r="H76" s="112"/>
      <c r="I76" s="112"/>
      <c r="J76" s="112"/>
      <c r="K76" s="112"/>
      <c r="L76" s="2"/>
    </row>
    <row r="77" spans="1:12">
      <c r="C77" s="67"/>
      <c r="D77" s="67"/>
      <c r="E77" s="68"/>
      <c r="F77" s="67"/>
      <c r="G77" s="67"/>
      <c r="H77" s="67"/>
      <c r="I77" s="69"/>
      <c r="J77" s="76"/>
      <c r="K77" s="76"/>
      <c r="L77" s="71"/>
    </row>
    <row r="78" spans="1:12">
      <c r="C78" s="67"/>
      <c r="D78" s="67"/>
      <c r="E78" s="68"/>
      <c r="F78" s="67"/>
      <c r="G78" s="67"/>
      <c r="H78" s="67"/>
      <c r="I78" s="69"/>
      <c r="J78" s="70"/>
      <c r="K78" s="70"/>
      <c r="L78" s="71"/>
    </row>
    <row r="79" spans="1:12">
      <c r="C79" s="67"/>
      <c r="D79" s="67"/>
      <c r="E79" s="68"/>
      <c r="F79" s="67"/>
      <c r="G79" s="67"/>
      <c r="H79" s="67"/>
      <c r="I79" s="69"/>
      <c r="J79" s="69"/>
      <c r="L79" s="70" t="s">
        <v>0</v>
      </c>
    </row>
    <row r="80" spans="1:12">
      <c r="C80" s="67"/>
      <c r="D80" s="67"/>
      <c r="E80" s="68"/>
      <c r="F80" s="67"/>
      <c r="G80" s="67"/>
      <c r="H80" s="67"/>
      <c r="I80" s="69"/>
      <c r="J80" s="69"/>
      <c r="K80" s="69"/>
      <c r="L80" s="71" t="s">
        <v>66</v>
      </c>
    </row>
    <row r="81" spans="1:16">
      <c r="C81" s="67"/>
      <c r="D81" s="67"/>
      <c r="E81" s="68"/>
      <c r="F81" s="67"/>
      <c r="G81" s="67"/>
      <c r="H81" s="67"/>
      <c r="I81" s="69"/>
      <c r="J81" s="69"/>
      <c r="K81" s="69"/>
      <c r="L81" s="71"/>
    </row>
    <row r="82" spans="1:16">
      <c r="C82" s="67" t="s">
        <v>2</v>
      </c>
      <c r="D82" s="67"/>
      <c r="E82" s="68" t="s">
        <v>3</v>
      </c>
      <c r="F82" s="67"/>
      <c r="G82" s="67"/>
      <c r="H82" s="67"/>
      <c r="I82" s="69"/>
      <c r="J82" s="204" t="str">
        <f>J5</f>
        <v>For the 12 months ended 12/31/16</v>
      </c>
      <c r="K82" s="1"/>
      <c r="L82" s="1"/>
    </row>
    <row r="83" spans="1:16">
      <c r="C83" s="67"/>
      <c r="D83" s="74" t="s">
        <v>4</v>
      </c>
      <c r="E83" s="74" t="s">
        <v>5</v>
      </c>
      <c r="F83" s="74"/>
      <c r="G83" s="74"/>
      <c r="H83" s="74"/>
      <c r="I83" s="69"/>
      <c r="J83" s="69"/>
      <c r="K83" s="69"/>
      <c r="L83" s="2"/>
    </row>
    <row r="84" spans="1:16">
      <c r="C84" s="67"/>
      <c r="D84" s="74"/>
      <c r="E84" s="74"/>
      <c r="F84" s="74"/>
      <c r="G84" s="74"/>
      <c r="H84" s="74"/>
      <c r="I84" s="69"/>
      <c r="J84" s="69"/>
      <c r="K84" s="69"/>
      <c r="L84" s="2"/>
    </row>
    <row r="85" spans="1:16">
      <c r="C85" s="67"/>
      <c r="D85" s="69"/>
      <c r="E85" s="15" t="str">
        <f>E8</f>
        <v>Montana-Dakota Utilities Co.</v>
      </c>
      <c r="F85" s="78"/>
      <c r="G85" s="78"/>
      <c r="H85" s="74"/>
      <c r="I85" s="74"/>
      <c r="J85" s="74"/>
      <c r="K85" s="74"/>
      <c r="L85" s="82"/>
    </row>
    <row r="86" spans="1:16">
      <c r="C86" s="76" t="s">
        <v>67</v>
      </c>
      <c r="D86" s="76" t="s">
        <v>68</v>
      </c>
      <c r="E86" s="76" t="s">
        <v>69</v>
      </c>
      <c r="F86" s="74" t="s">
        <v>4</v>
      </c>
      <c r="G86" s="74"/>
      <c r="H86" s="113" t="s">
        <v>70</v>
      </c>
      <c r="I86" s="74"/>
      <c r="J86" s="114" t="s">
        <v>71</v>
      </c>
      <c r="K86" s="74"/>
      <c r="L86" s="109"/>
    </row>
    <row r="87" spans="1:16">
      <c r="C87" s="67"/>
      <c r="D87" s="115" t="s">
        <v>72</v>
      </c>
      <c r="E87" s="74"/>
      <c r="F87" s="74"/>
      <c r="G87" s="74"/>
      <c r="H87" s="76"/>
      <c r="I87" s="74"/>
      <c r="J87" s="116" t="s">
        <v>73</v>
      </c>
      <c r="K87" s="74"/>
      <c r="L87" s="109"/>
    </row>
    <row r="88" spans="1:16">
      <c r="A88" s="76" t="s">
        <v>6</v>
      </c>
      <c r="C88" s="67"/>
      <c r="D88" s="117" t="s">
        <v>74</v>
      </c>
      <c r="E88" s="116" t="s">
        <v>75</v>
      </c>
      <c r="F88" s="118"/>
      <c r="G88" s="116" t="s">
        <v>76</v>
      </c>
      <c r="I88" s="118"/>
      <c r="J88" s="76" t="s">
        <v>77</v>
      </c>
      <c r="K88" s="74"/>
      <c r="L88" s="109"/>
    </row>
    <row r="89" spans="1:16" ht="16.5" thickBot="1">
      <c r="A89" s="80" t="s">
        <v>8</v>
      </c>
      <c r="C89" s="119" t="s">
        <v>78</v>
      </c>
      <c r="D89" s="74"/>
      <c r="E89" s="74"/>
      <c r="F89" s="74"/>
      <c r="G89" s="74"/>
      <c r="H89" s="74"/>
      <c r="I89" s="74"/>
      <c r="J89" s="74"/>
      <c r="K89" s="74"/>
      <c r="L89" s="120"/>
      <c r="M89" s="100"/>
      <c r="N89" s="100"/>
      <c r="O89" s="100"/>
    </row>
    <row r="90" spans="1:16">
      <c r="A90" s="76"/>
      <c r="C90" s="67"/>
      <c r="D90" s="74"/>
      <c r="E90" s="74"/>
      <c r="F90" s="74"/>
      <c r="G90" s="74"/>
      <c r="H90" s="74"/>
      <c r="I90" s="74"/>
      <c r="J90" s="74"/>
      <c r="K90" s="74"/>
      <c r="L90" s="121"/>
      <c r="M90" s="100"/>
      <c r="N90" s="122"/>
      <c r="O90" s="122"/>
    </row>
    <row r="91" spans="1:16">
      <c r="A91" s="76"/>
      <c r="C91" s="123" t="s">
        <v>357</v>
      </c>
      <c r="D91" s="124"/>
      <c r="E91" s="74"/>
      <c r="F91" s="74"/>
      <c r="G91" s="74"/>
      <c r="H91" s="74"/>
      <c r="I91" s="74"/>
      <c r="J91" s="74"/>
      <c r="K91" s="74"/>
      <c r="L91" s="121"/>
      <c r="M91" s="100"/>
      <c r="N91" s="122"/>
      <c r="O91" s="122"/>
    </row>
    <row r="92" spans="1:16">
      <c r="A92" s="76">
        <v>1</v>
      </c>
      <c r="C92" s="67" t="s">
        <v>79</v>
      </c>
      <c r="D92" s="82" t="s">
        <v>80</v>
      </c>
      <c r="E92" s="50">
        <v>926293547</v>
      </c>
      <c r="F92" s="74"/>
      <c r="G92" s="74" t="s">
        <v>81</v>
      </c>
      <c r="H92" s="125" t="s">
        <v>4</v>
      </c>
      <c r="I92" s="74"/>
      <c r="J92" s="74" t="s">
        <v>4</v>
      </c>
      <c r="K92" s="74"/>
      <c r="L92" s="126"/>
      <c r="M92" s="100"/>
      <c r="N92" s="126"/>
      <c r="O92" s="126"/>
    </row>
    <row r="93" spans="1:16">
      <c r="A93" s="76">
        <v>2</v>
      </c>
      <c r="C93" s="67" t="s">
        <v>82</v>
      </c>
      <c r="D93" s="82" t="s">
        <v>83</v>
      </c>
      <c r="E93" s="50">
        <v>264777125</v>
      </c>
      <c r="F93" s="74"/>
      <c r="G93" s="74" t="s">
        <v>17</v>
      </c>
      <c r="H93" s="27">
        <f>J251</f>
        <v>0.93314209828360362</v>
      </c>
      <c r="I93" s="74"/>
      <c r="J93" s="8">
        <f>+H93*E93</f>
        <v>247074682</v>
      </c>
      <c r="K93" s="74"/>
      <c r="L93" s="120"/>
      <c r="M93" s="100"/>
      <c r="N93" s="126"/>
      <c r="O93" s="126"/>
      <c r="P93" s="110"/>
    </row>
    <row r="94" spans="1:16">
      <c r="A94" s="76">
        <v>3</v>
      </c>
      <c r="C94" s="67" t="s">
        <v>84</v>
      </c>
      <c r="D94" s="82" t="s">
        <v>85</v>
      </c>
      <c r="E94" s="50">
        <v>332510914</v>
      </c>
      <c r="F94" s="74"/>
      <c r="G94" s="74" t="s">
        <v>81</v>
      </c>
      <c r="H94" s="125" t="s">
        <v>4</v>
      </c>
      <c r="I94" s="74"/>
      <c r="J94" s="74" t="s">
        <v>4</v>
      </c>
      <c r="K94" s="74"/>
      <c r="L94" s="120"/>
      <c r="M94" s="100"/>
      <c r="N94" s="126"/>
      <c r="O94" s="126"/>
    </row>
    <row r="95" spans="1:16">
      <c r="A95" s="76">
        <v>4</v>
      </c>
      <c r="C95" s="67" t="s">
        <v>86</v>
      </c>
      <c r="D95" s="82" t="s">
        <v>87</v>
      </c>
      <c r="E95" s="50">
        <v>30237847</v>
      </c>
      <c r="F95" s="74"/>
      <c r="G95" s="74" t="s">
        <v>88</v>
      </c>
      <c r="H95" s="27">
        <f>J269</f>
        <v>0.14454964323541608</v>
      </c>
      <c r="I95" s="74"/>
      <c r="J95" s="8">
        <f>+H95*E95</f>
        <v>4370869.9960570969</v>
      </c>
      <c r="K95" s="74"/>
      <c r="L95" s="120"/>
      <c r="M95" s="100"/>
      <c r="N95" s="126"/>
      <c r="O95" s="126"/>
    </row>
    <row r="96" spans="1:16" ht="16.5" thickBot="1">
      <c r="A96" s="76">
        <v>5</v>
      </c>
      <c r="C96" s="67" t="s">
        <v>89</v>
      </c>
      <c r="D96" s="82" t="s">
        <v>90</v>
      </c>
      <c r="E96" s="56">
        <v>122012389</v>
      </c>
      <c r="F96" s="74"/>
      <c r="G96" s="74" t="s">
        <v>91</v>
      </c>
      <c r="H96" s="27">
        <f>L274</f>
        <v>0.10146554692646804</v>
      </c>
      <c r="I96" s="74"/>
      <c r="J96" s="19">
        <f>+H96*E96</f>
        <v>12380053.781689974</v>
      </c>
      <c r="K96" s="74"/>
      <c r="L96" s="120"/>
      <c r="M96" s="100"/>
      <c r="N96" s="126"/>
      <c r="O96" s="126"/>
    </row>
    <row r="97" spans="1:15">
      <c r="A97" s="76">
        <v>6</v>
      </c>
      <c r="C97" s="67" t="s">
        <v>92</v>
      </c>
      <c r="D97" s="82"/>
      <c r="E97" s="8">
        <f>SUM(E92:E96)</f>
        <v>1675831822</v>
      </c>
      <c r="F97" s="74"/>
      <c r="G97" s="74" t="s">
        <v>93</v>
      </c>
      <c r="H97" s="29">
        <f>IF(J97&gt;0,J97/E97,0)</f>
        <v>0.15742964318632391</v>
      </c>
      <c r="I97" s="74"/>
      <c r="J97" s="8">
        <f>SUM(J92:J96)</f>
        <v>263825605.77774706</v>
      </c>
      <c r="K97" s="74"/>
      <c r="L97" s="120"/>
      <c r="M97" s="100"/>
      <c r="N97" s="126"/>
      <c r="O97" s="126"/>
    </row>
    <row r="98" spans="1:15">
      <c r="C98" s="67"/>
      <c r="D98" s="74"/>
      <c r="E98" s="74"/>
      <c r="F98" s="74"/>
      <c r="G98" s="74"/>
      <c r="H98" s="127"/>
      <c r="I98" s="74"/>
      <c r="J98" s="74"/>
      <c r="K98" s="74"/>
      <c r="L98" s="120"/>
      <c r="M98" s="100"/>
      <c r="N98" s="126"/>
      <c r="O98" s="126"/>
    </row>
    <row r="99" spans="1:15">
      <c r="C99" s="123" t="s">
        <v>358</v>
      </c>
      <c r="D99" s="74"/>
      <c r="E99" s="74"/>
      <c r="F99" s="74"/>
      <c r="G99" s="74"/>
      <c r="H99" s="74"/>
      <c r="I99" s="74"/>
      <c r="J99" s="74"/>
      <c r="K99" s="74"/>
      <c r="L99" s="120"/>
      <c r="M99" s="100"/>
      <c r="N99" s="126"/>
      <c r="O99" s="126"/>
    </row>
    <row r="100" spans="1:15">
      <c r="A100" s="76">
        <v>7</v>
      </c>
      <c r="C100" s="14" t="str">
        <f>+C92</f>
        <v xml:space="preserve">  Production</v>
      </c>
      <c r="D100" s="74" t="s">
        <v>94</v>
      </c>
      <c r="E100" s="50">
        <v>293314600</v>
      </c>
      <c r="F100" s="74"/>
      <c r="G100" s="8" t="str">
        <f>+G92</f>
        <v>NA</v>
      </c>
      <c r="H100" s="27" t="str">
        <f>+H92</f>
        <v xml:space="preserve"> </v>
      </c>
      <c r="I100" s="74"/>
      <c r="J100" s="74" t="s">
        <v>4</v>
      </c>
      <c r="K100" s="74"/>
      <c r="L100" s="120"/>
      <c r="M100" s="100"/>
      <c r="N100" s="126"/>
      <c r="O100" s="126"/>
    </row>
    <row r="101" spans="1:15">
      <c r="A101" s="76">
        <v>8</v>
      </c>
      <c r="C101" s="14" t="str">
        <f>+C93</f>
        <v xml:space="preserve">  Transmission</v>
      </c>
      <c r="D101" s="74" t="s">
        <v>95</v>
      </c>
      <c r="E101" s="50">
        <v>97112450</v>
      </c>
      <c r="F101" s="74"/>
      <c r="G101" s="8" t="str">
        <f t="shared" ref="G101:H104" si="1">+G93</f>
        <v>TP</v>
      </c>
      <c r="H101" s="27">
        <f t="shared" si="1"/>
        <v>0.93314209828360362</v>
      </c>
      <c r="I101" s="74"/>
      <c r="J101" s="8">
        <f>+H101*E101</f>
        <v>90619715.362461537</v>
      </c>
      <c r="K101" s="74"/>
      <c r="L101" s="120"/>
      <c r="M101" s="100"/>
      <c r="N101" s="126"/>
      <c r="O101" s="126"/>
    </row>
    <row r="102" spans="1:15">
      <c r="A102" s="76">
        <v>9</v>
      </c>
      <c r="C102" s="14" t="str">
        <f>+C94</f>
        <v xml:space="preserve">  Distribution</v>
      </c>
      <c r="D102" s="74" t="s">
        <v>96</v>
      </c>
      <c r="E102" s="50">
        <v>116164072</v>
      </c>
      <c r="F102" s="74"/>
      <c r="G102" s="8" t="str">
        <f t="shared" si="1"/>
        <v>NA</v>
      </c>
      <c r="H102" s="27" t="str">
        <f t="shared" si="1"/>
        <v xml:space="preserve"> </v>
      </c>
      <c r="I102" s="74"/>
      <c r="J102" s="74" t="s">
        <v>4</v>
      </c>
      <c r="K102" s="74"/>
      <c r="L102" s="120"/>
      <c r="M102" s="100"/>
      <c r="N102" s="126"/>
      <c r="O102" s="126"/>
    </row>
    <row r="103" spans="1:15">
      <c r="A103" s="76">
        <v>10</v>
      </c>
      <c r="C103" s="14" t="str">
        <f>+C95</f>
        <v xml:space="preserve">  General &amp; Intangible</v>
      </c>
      <c r="D103" s="74" t="s">
        <v>97</v>
      </c>
      <c r="E103" s="50">
        <v>11655640</v>
      </c>
      <c r="F103" s="74"/>
      <c r="G103" s="8" t="str">
        <f t="shared" si="1"/>
        <v>W/S</v>
      </c>
      <c r="H103" s="27">
        <f t="shared" si="1"/>
        <v>0.14454964323541608</v>
      </c>
      <c r="I103" s="74"/>
      <c r="J103" s="8">
        <f>+H103*E103</f>
        <v>1684818.6036804451</v>
      </c>
      <c r="K103" s="74"/>
      <c r="L103" s="120"/>
      <c r="M103" s="100"/>
      <c r="N103" s="126"/>
      <c r="O103" s="126"/>
    </row>
    <row r="104" spans="1:15" ht="16.5" thickBot="1">
      <c r="A104" s="76">
        <v>11</v>
      </c>
      <c r="C104" s="14" t="str">
        <f>+C96</f>
        <v xml:space="preserve">  Common</v>
      </c>
      <c r="D104" s="74" t="s">
        <v>90</v>
      </c>
      <c r="E104" s="56">
        <v>45597867</v>
      </c>
      <c r="F104" s="74"/>
      <c r="G104" s="8" t="str">
        <f t="shared" si="1"/>
        <v>CE</v>
      </c>
      <c r="H104" s="27">
        <f t="shared" si="1"/>
        <v>0.10146554692646804</v>
      </c>
      <c r="I104" s="74"/>
      <c r="J104" s="19">
        <f>+H104*E104</f>
        <v>4626612.5138353491</v>
      </c>
      <c r="K104" s="74"/>
      <c r="L104" s="120"/>
      <c r="M104" s="100"/>
      <c r="N104" s="126"/>
      <c r="O104" s="126"/>
    </row>
    <row r="105" spans="1:15">
      <c r="A105" s="76">
        <v>12</v>
      </c>
      <c r="C105" s="67" t="s">
        <v>98</v>
      </c>
      <c r="D105" s="74"/>
      <c r="E105" s="8">
        <f>SUM(E100:E104)</f>
        <v>563844629</v>
      </c>
      <c r="F105" s="74"/>
      <c r="G105" s="74"/>
      <c r="H105" s="74"/>
      <c r="I105" s="74"/>
      <c r="J105" s="8">
        <f>SUM(J100:J104)</f>
        <v>96931146.47997734</v>
      </c>
      <c r="K105" s="74"/>
      <c r="L105" s="120"/>
      <c r="M105" s="100"/>
      <c r="N105" s="126"/>
      <c r="O105" s="126"/>
    </row>
    <row r="106" spans="1:15">
      <c r="A106" s="76"/>
      <c r="D106" s="74" t="s">
        <v>4</v>
      </c>
      <c r="F106" s="74"/>
      <c r="G106" s="74"/>
      <c r="H106" s="127"/>
      <c r="I106" s="74"/>
      <c r="K106" s="74"/>
      <c r="L106" s="120"/>
      <c r="M106" s="100"/>
      <c r="N106" s="126"/>
      <c r="O106" s="126"/>
    </row>
    <row r="107" spans="1:15">
      <c r="A107" s="76"/>
      <c r="C107" s="123" t="s">
        <v>359</v>
      </c>
      <c r="D107" s="74"/>
      <c r="E107" s="74"/>
      <c r="F107" s="74"/>
      <c r="G107" s="74"/>
      <c r="H107" s="74"/>
      <c r="I107" s="74"/>
      <c r="J107" s="74"/>
      <c r="K107" s="74"/>
      <c r="L107" s="74"/>
      <c r="N107" s="74"/>
      <c r="O107" s="74"/>
    </row>
    <row r="108" spans="1:15">
      <c r="A108" s="76">
        <v>13</v>
      </c>
      <c r="C108" s="14" t="str">
        <f>+C100</f>
        <v xml:space="preserve">  Production</v>
      </c>
      <c r="D108" s="74" t="s">
        <v>99</v>
      </c>
      <c r="E108" s="8">
        <f>E92-E100</f>
        <v>632978947</v>
      </c>
      <c r="F108" s="74"/>
      <c r="G108" s="74"/>
      <c r="H108" s="127"/>
      <c r="I108" s="74"/>
      <c r="J108" s="74" t="s">
        <v>4</v>
      </c>
      <c r="K108" s="74"/>
      <c r="L108" s="74"/>
      <c r="N108" s="74"/>
      <c r="O108" s="74"/>
    </row>
    <row r="109" spans="1:15">
      <c r="A109" s="76">
        <v>14</v>
      </c>
      <c r="C109" s="14" t="str">
        <f>+C101</f>
        <v xml:space="preserve">  Transmission</v>
      </c>
      <c r="D109" s="74" t="s">
        <v>100</v>
      </c>
      <c r="E109" s="8">
        <f>E93-E101</f>
        <v>167664675</v>
      </c>
      <c r="F109" s="74"/>
      <c r="G109" s="74"/>
      <c r="H109" s="125"/>
      <c r="I109" s="74"/>
      <c r="J109" s="8">
        <f>J93-J101</f>
        <v>156454966.63753846</v>
      </c>
      <c r="K109" s="74"/>
      <c r="L109" s="74"/>
      <c r="N109" s="74"/>
      <c r="O109" s="74"/>
    </row>
    <row r="110" spans="1:15">
      <c r="A110" s="76">
        <v>15</v>
      </c>
      <c r="C110" s="14" t="str">
        <f>+C102</f>
        <v xml:space="preserve">  Distribution</v>
      </c>
      <c r="D110" s="74" t="s">
        <v>101</v>
      </c>
      <c r="E110" s="8">
        <f>E94-E102</f>
        <v>216346842</v>
      </c>
      <c r="F110" s="74"/>
      <c r="G110" s="74"/>
      <c r="H110" s="127"/>
      <c r="I110" s="74"/>
      <c r="J110" s="74" t="s">
        <v>4</v>
      </c>
      <c r="K110" s="74"/>
      <c r="L110" s="74"/>
      <c r="N110" s="74"/>
      <c r="O110" s="74"/>
    </row>
    <row r="111" spans="1:15">
      <c r="A111" s="76">
        <v>16</v>
      </c>
      <c r="C111" s="14" t="str">
        <f>+C103</f>
        <v xml:space="preserve">  General &amp; Intangible</v>
      </c>
      <c r="D111" s="74" t="s">
        <v>102</v>
      </c>
      <c r="E111" s="8">
        <f>E95-E103</f>
        <v>18582207</v>
      </c>
      <c r="F111" s="74"/>
      <c r="G111" s="74"/>
      <c r="H111" s="127"/>
      <c r="I111" s="74"/>
      <c r="J111" s="8">
        <f>J95-J103</f>
        <v>2686051.392376652</v>
      </c>
      <c r="K111" s="74"/>
      <c r="L111" s="74"/>
      <c r="N111" s="74"/>
      <c r="O111" s="74"/>
    </row>
    <row r="112" spans="1:15" ht="16.5" thickBot="1">
      <c r="A112" s="76">
        <v>17</v>
      </c>
      <c r="C112" s="14" t="str">
        <f>+C104</f>
        <v xml:space="preserve">  Common</v>
      </c>
      <c r="D112" s="74" t="s">
        <v>103</v>
      </c>
      <c r="E112" s="19">
        <f>E96-E104</f>
        <v>76414522</v>
      </c>
      <c r="F112" s="74"/>
      <c r="G112" s="74"/>
      <c r="H112" s="127"/>
      <c r="I112" s="74"/>
      <c r="J112" s="19">
        <f>J96-J104</f>
        <v>7753441.2678546244</v>
      </c>
      <c r="K112" s="74"/>
      <c r="L112" s="74"/>
      <c r="N112" s="74"/>
      <c r="O112" s="74"/>
    </row>
    <row r="113" spans="1:17">
      <c r="A113" s="76">
        <v>18</v>
      </c>
      <c r="C113" s="67" t="s">
        <v>104</v>
      </c>
      <c r="D113" s="74"/>
      <c r="E113" s="8">
        <f>SUM(E108:E112)</f>
        <v>1111987193</v>
      </c>
      <c r="F113" s="74"/>
      <c r="G113" s="74" t="s">
        <v>105</v>
      </c>
      <c r="H113" s="29">
        <f>IF(J113&gt;0,J113/E113,0)</f>
        <v>0.15008667397284473</v>
      </c>
      <c r="I113" s="74"/>
      <c r="J113" s="8">
        <f>SUM(J108:J112)</f>
        <v>166894459.29776976</v>
      </c>
      <c r="K113" s="74"/>
      <c r="L113" s="74"/>
      <c r="N113" s="74"/>
      <c r="O113" s="74"/>
    </row>
    <row r="114" spans="1:17">
      <c r="A114" s="76"/>
      <c r="C114" s="67"/>
      <c r="D114" s="74"/>
      <c r="E114" s="74"/>
      <c r="F114" s="74"/>
      <c r="G114" s="74"/>
      <c r="H114" s="127"/>
      <c r="I114" s="74"/>
      <c r="J114" s="74"/>
      <c r="K114" s="74"/>
      <c r="L114" s="74"/>
      <c r="N114" s="74"/>
      <c r="O114" s="74"/>
    </row>
    <row r="115" spans="1:17">
      <c r="A115" s="88" t="s">
        <v>107</v>
      </c>
      <c r="C115" s="67" t="s">
        <v>106</v>
      </c>
      <c r="D115" s="74"/>
      <c r="E115" s="74"/>
      <c r="F115" s="74"/>
      <c r="G115" s="74"/>
      <c r="H115" s="127"/>
      <c r="I115" s="74"/>
      <c r="J115" s="74"/>
      <c r="K115" s="74"/>
      <c r="L115" s="74"/>
      <c r="N115" s="74"/>
      <c r="O115" s="74"/>
    </row>
    <row r="116" spans="1:17">
      <c r="B116" s="89"/>
      <c r="C116" s="123" t="s">
        <v>360</v>
      </c>
      <c r="D116" s="91" t="s">
        <v>366</v>
      </c>
      <c r="E116" s="57">
        <v>30130637</v>
      </c>
      <c r="F116" s="91"/>
      <c r="G116" s="91" t="s">
        <v>384</v>
      </c>
      <c r="H116" s="125">
        <v>1</v>
      </c>
      <c r="I116" s="91"/>
      <c r="J116" s="20">
        <f>E116</f>
        <v>30130637</v>
      </c>
      <c r="K116" s="74"/>
      <c r="L116" s="74"/>
      <c r="N116" s="74"/>
      <c r="O116" s="74"/>
    </row>
    <row r="117" spans="1:17">
      <c r="A117" s="76"/>
      <c r="D117" s="74"/>
      <c r="F117" s="74"/>
      <c r="I117" s="74"/>
      <c r="K117" s="74"/>
      <c r="L117" s="74"/>
      <c r="N117" s="74"/>
      <c r="O117" s="74"/>
    </row>
    <row r="118" spans="1:17">
      <c r="A118" s="76"/>
      <c r="C118" s="67" t="s">
        <v>367</v>
      </c>
      <c r="D118" s="124"/>
      <c r="E118" s="74"/>
      <c r="F118" s="74"/>
      <c r="G118" s="74"/>
      <c r="H118" s="74"/>
      <c r="I118" s="74"/>
      <c r="J118" s="74"/>
      <c r="K118" s="74"/>
      <c r="L118" s="74"/>
      <c r="N118" s="74"/>
      <c r="O118" s="74"/>
    </row>
    <row r="119" spans="1:17">
      <c r="A119" s="76">
        <v>19</v>
      </c>
      <c r="C119" s="123" t="s">
        <v>368</v>
      </c>
      <c r="D119" s="82" t="s">
        <v>108</v>
      </c>
      <c r="E119" s="60">
        <v>0</v>
      </c>
      <c r="F119" s="82"/>
      <c r="G119" s="11" t="str">
        <f>+G100</f>
        <v>NA</v>
      </c>
      <c r="H119" s="128" t="s">
        <v>109</v>
      </c>
      <c r="I119" s="74"/>
      <c r="J119" s="129">
        <v>0</v>
      </c>
      <c r="K119" s="74"/>
      <c r="L119" s="126"/>
      <c r="M119" s="100"/>
      <c r="N119" s="126"/>
      <c r="O119" s="126"/>
      <c r="P119" s="100"/>
      <c r="Q119" s="100"/>
    </row>
    <row r="120" spans="1:17">
      <c r="A120" s="76">
        <v>20</v>
      </c>
      <c r="C120" s="123" t="s">
        <v>369</v>
      </c>
      <c r="D120" s="82" t="s">
        <v>110</v>
      </c>
      <c r="E120" s="60">
        <v>-202114874</v>
      </c>
      <c r="F120" s="74"/>
      <c r="G120" s="74" t="s">
        <v>111</v>
      </c>
      <c r="H120" s="27">
        <f>+H113</f>
        <v>0.15008667397284473</v>
      </c>
      <c r="I120" s="74"/>
      <c r="J120" s="31">
        <f>E120*H120</f>
        <v>-30334749.199100591</v>
      </c>
      <c r="K120" s="74"/>
      <c r="L120" s="126"/>
      <c r="M120" s="100"/>
      <c r="N120" s="126"/>
      <c r="O120" s="126"/>
      <c r="P120" s="100"/>
      <c r="Q120" s="100"/>
    </row>
    <row r="121" spans="1:17">
      <c r="A121" s="76">
        <v>21</v>
      </c>
      <c r="C121" s="123" t="s">
        <v>370</v>
      </c>
      <c r="D121" s="82" t="s">
        <v>112</v>
      </c>
      <c r="E121" s="59">
        <v>-25438766</v>
      </c>
      <c r="F121" s="74"/>
      <c r="G121" s="74" t="s">
        <v>111</v>
      </c>
      <c r="H121" s="27">
        <f>+H120</f>
        <v>0.15008667397284473</v>
      </c>
      <c r="I121" s="74"/>
      <c r="J121" s="31">
        <f>E121*H121</f>
        <v>-3818019.7789134872</v>
      </c>
      <c r="K121" s="74"/>
      <c r="L121" s="126"/>
      <c r="M121" s="100"/>
      <c r="N121" s="126"/>
      <c r="O121" s="126"/>
      <c r="P121" s="100"/>
      <c r="Q121" s="100"/>
    </row>
    <row r="122" spans="1:17">
      <c r="A122" s="76">
        <v>22</v>
      </c>
      <c r="C122" s="123" t="s">
        <v>371</v>
      </c>
      <c r="D122" s="82" t="s">
        <v>113</v>
      </c>
      <c r="E122" s="59">
        <v>30982127</v>
      </c>
      <c r="F122" s="74"/>
      <c r="G122" s="8" t="str">
        <f>+G121</f>
        <v>NP</v>
      </c>
      <c r="H122" s="27">
        <f>+H121</f>
        <v>0.15008667397284473</v>
      </c>
      <c r="I122" s="74"/>
      <c r="J122" s="31">
        <f>E122*H122</f>
        <v>4650004.3940342702</v>
      </c>
      <c r="K122" s="74"/>
      <c r="L122" s="126"/>
      <c r="M122" s="100"/>
      <c r="N122" s="126"/>
      <c r="O122" s="126"/>
      <c r="P122" s="100"/>
      <c r="Q122" s="100"/>
    </row>
    <row r="123" spans="1:17">
      <c r="A123" s="76">
        <v>23</v>
      </c>
      <c r="C123" s="89" t="s">
        <v>372</v>
      </c>
      <c r="D123" s="110" t="s">
        <v>114</v>
      </c>
      <c r="E123" s="59">
        <v>-1696343</v>
      </c>
      <c r="F123" s="74"/>
      <c r="G123" s="74" t="s">
        <v>111</v>
      </c>
      <c r="H123" s="27">
        <f>+H121</f>
        <v>0.15008667397284473</v>
      </c>
      <c r="I123" s="74"/>
      <c r="J123" s="32">
        <f>E123*H123</f>
        <v>-254598.47878711735</v>
      </c>
      <c r="K123" s="74"/>
      <c r="L123" s="126"/>
      <c r="M123" s="100"/>
      <c r="N123" s="126"/>
      <c r="O123" s="126"/>
      <c r="P123" s="100"/>
      <c r="Q123" s="100"/>
    </row>
    <row r="124" spans="1:17">
      <c r="A124" s="76" t="s">
        <v>115</v>
      </c>
      <c r="C124" s="89" t="s">
        <v>383</v>
      </c>
      <c r="D124" s="110"/>
      <c r="E124" s="59"/>
      <c r="F124" s="74"/>
      <c r="G124" s="74"/>
      <c r="H124" s="125"/>
      <c r="I124" s="74"/>
      <c r="J124" s="130"/>
      <c r="K124" s="74"/>
      <c r="L124" s="126"/>
      <c r="M124" s="100"/>
      <c r="N124" s="126"/>
      <c r="O124" s="126"/>
      <c r="P124" s="100"/>
      <c r="Q124" s="100"/>
    </row>
    <row r="125" spans="1:17">
      <c r="A125" s="88" t="s">
        <v>382</v>
      </c>
      <c r="C125" s="89" t="s">
        <v>116</v>
      </c>
      <c r="D125" s="89" t="s">
        <v>351</v>
      </c>
      <c r="E125" s="58">
        <v>0</v>
      </c>
      <c r="F125" s="74"/>
      <c r="G125" s="91" t="s">
        <v>384</v>
      </c>
      <c r="H125" s="125">
        <v>1</v>
      </c>
      <c r="I125" s="91"/>
      <c r="J125" s="32">
        <f>E125*H125</f>
        <v>0</v>
      </c>
      <c r="K125" s="74"/>
      <c r="L125" s="126"/>
      <c r="M125" s="100"/>
      <c r="N125" s="126"/>
      <c r="O125" s="126"/>
      <c r="P125" s="100"/>
      <c r="Q125" s="100"/>
    </row>
    <row r="126" spans="1:17">
      <c r="A126" s="76">
        <v>24</v>
      </c>
      <c r="C126" s="123" t="s">
        <v>117</v>
      </c>
      <c r="D126" s="74"/>
      <c r="E126" s="31">
        <f>SUM(E119:E125)</f>
        <v>-198267856</v>
      </c>
      <c r="F126" s="74"/>
      <c r="G126" s="74"/>
      <c r="H126" s="74"/>
      <c r="I126" s="74"/>
      <c r="J126" s="31">
        <f>SUM(J119:J125)</f>
        <v>-29757363.062766928</v>
      </c>
      <c r="K126" s="74"/>
      <c r="L126" s="126"/>
      <c r="M126" s="100"/>
      <c r="N126" s="126"/>
      <c r="O126" s="126"/>
      <c r="P126" s="100"/>
      <c r="Q126" s="100"/>
    </row>
    <row r="127" spans="1:17">
      <c r="A127" s="76"/>
      <c r="D127" s="74"/>
      <c r="F127" s="74"/>
      <c r="G127" s="74"/>
      <c r="H127" s="127"/>
      <c r="I127" s="74"/>
      <c r="K127" s="74"/>
      <c r="L127" s="126"/>
      <c r="M127" s="100"/>
      <c r="N127" s="126"/>
      <c r="O127" s="126"/>
      <c r="P127" s="100"/>
      <c r="Q127" s="100"/>
    </row>
    <row r="128" spans="1:17">
      <c r="A128" s="76">
        <v>25</v>
      </c>
      <c r="C128" s="123" t="s">
        <v>352</v>
      </c>
      <c r="D128" s="74" t="s">
        <v>118</v>
      </c>
      <c r="E128" s="50">
        <v>0</v>
      </c>
      <c r="F128" s="74"/>
      <c r="G128" s="8" t="str">
        <f>+G101</f>
        <v>TP</v>
      </c>
      <c r="H128" s="27">
        <f>+H101</f>
        <v>0.93314209828360362</v>
      </c>
      <c r="I128" s="74"/>
      <c r="J128" s="8">
        <f>+H128*E128</f>
        <v>0</v>
      </c>
      <c r="K128" s="74"/>
      <c r="L128" s="126"/>
      <c r="M128" s="100"/>
      <c r="N128" s="126"/>
      <c r="O128" s="126"/>
      <c r="P128" s="100"/>
      <c r="Q128" s="100"/>
    </row>
    <row r="129" spans="1:17">
      <c r="A129" s="76"/>
      <c r="C129" s="67"/>
      <c r="D129" s="74"/>
      <c r="E129" s="74"/>
      <c r="F129" s="74"/>
      <c r="G129" s="74"/>
      <c r="H129" s="74"/>
      <c r="I129" s="74"/>
      <c r="J129" s="74"/>
      <c r="K129" s="74"/>
      <c r="L129" s="126"/>
      <c r="M129" s="100"/>
      <c r="N129" s="126"/>
      <c r="O129" s="126"/>
      <c r="P129" s="100"/>
      <c r="Q129" s="100"/>
    </row>
    <row r="130" spans="1:17">
      <c r="A130" s="76"/>
      <c r="C130" s="67" t="s">
        <v>119</v>
      </c>
      <c r="D130" s="124"/>
      <c r="E130" s="74"/>
      <c r="F130" s="74"/>
      <c r="G130" s="74"/>
      <c r="H130" s="74"/>
      <c r="I130" s="74"/>
      <c r="J130" s="74"/>
      <c r="K130" s="74"/>
      <c r="L130" s="126"/>
      <c r="M130" s="100"/>
      <c r="N130" s="126"/>
      <c r="O130" s="126"/>
      <c r="P130" s="100"/>
      <c r="Q130" s="100"/>
    </row>
    <row r="131" spans="1:17">
      <c r="A131" s="76">
        <v>26</v>
      </c>
      <c r="C131" s="67" t="s">
        <v>120</v>
      </c>
      <c r="D131" s="66" t="s">
        <v>121</v>
      </c>
      <c r="E131" s="8">
        <f>+E181/8</f>
        <v>3801839.625</v>
      </c>
      <c r="F131" s="74"/>
      <c r="G131" s="74"/>
      <c r="H131" s="127"/>
      <c r="I131" s="74"/>
      <c r="J131" s="8">
        <f>+J181/8</f>
        <v>1319029.6921725348</v>
      </c>
      <c r="K131" s="69"/>
      <c r="L131" s="126"/>
      <c r="M131" s="100"/>
      <c r="N131" s="126"/>
      <c r="O131" s="126"/>
      <c r="P131" s="100"/>
      <c r="Q131" s="100"/>
    </row>
    <row r="132" spans="1:17">
      <c r="A132" s="76">
        <v>27</v>
      </c>
      <c r="C132" s="123" t="s">
        <v>353</v>
      </c>
      <c r="D132" s="74" t="s">
        <v>122</v>
      </c>
      <c r="E132" s="50">
        <v>84884</v>
      </c>
      <c r="F132" s="74"/>
      <c r="G132" s="74" t="s">
        <v>123</v>
      </c>
      <c r="H132" s="27">
        <f>J261</f>
        <v>0.89575293863317884</v>
      </c>
      <c r="I132" s="74"/>
      <c r="J132" s="8">
        <f>+H132*E132</f>
        <v>76035.092442938752</v>
      </c>
      <c r="K132" s="74" t="s">
        <v>4</v>
      </c>
      <c r="L132" s="126"/>
      <c r="M132" s="100"/>
      <c r="N132" s="126"/>
      <c r="O132" s="126"/>
      <c r="P132" s="100"/>
      <c r="Q132" s="100"/>
    </row>
    <row r="133" spans="1:17" ht="16.5" thickBot="1">
      <c r="A133" s="76">
        <v>28</v>
      </c>
      <c r="C133" s="123" t="s">
        <v>355</v>
      </c>
      <c r="D133" s="74" t="s">
        <v>124</v>
      </c>
      <c r="E133" s="56">
        <v>2238827</v>
      </c>
      <c r="F133" s="74"/>
      <c r="G133" s="74" t="s">
        <v>125</v>
      </c>
      <c r="H133" s="27">
        <f>+H97</f>
        <v>0.15742964318632391</v>
      </c>
      <c r="I133" s="74"/>
      <c r="J133" s="19">
        <f>+H133*E133</f>
        <v>352457.73576590797</v>
      </c>
      <c r="K133" s="74"/>
      <c r="L133" s="74"/>
      <c r="N133" s="74"/>
      <c r="O133" s="74"/>
    </row>
    <row r="134" spans="1:17">
      <c r="A134" s="76">
        <v>29</v>
      </c>
      <c r="C134" s="67" t="s">
        <v>126</v>
      </c>
      <c r="D134" s="69"/>
      <c r="E134" s="8">
        <f>E131+E132+E133</f>
        <v>6125550.625</v>
      </c>
      <c r="F134" s="69"/>
      <c r="G134" s="69"/>
      <c r="H134" s="69"/>
      <c r="I134" s="69"/>
      <c r="J134" s="8">
        <f>J131+J132+J133</f>
        <v>1747522.5203813815</v>
      </c>
      <c r="K134" s="69"/>
      <c r="L134" s="74"/>
      <c r="N134" s="74"/>
      <c r="O134" s="74"/>
    </row>
    <row r="135" spans="1:17" ht="16.5" thickBot="1">
      <c r="D135" s="74"/>
      <c r="E135" s="131"/>
      <c r="F135" s="74"/>
      <c r="G135" s="74"/>
      <c r="H135" s="74"/>
      <c r="I135" s="74"/>
      <c r="J135" s="131"/>
      <c r="K135" s="74"/>
      <c r="L135" s="74"/>
      <c r="N135" s="74"/>
      <c r="O135" s="74"/>
    </row>
    <row r="136" spans="1:17" ht="16.5" thickBot="1">
      <c r="A136" s="76">
        <v>30</v>
      </c>
      <c r="C136" s="132" t="s">
        <v>127</v>
      </c>
      <c r="D136" s="74"/>
      <c r="E136" s="33">
        <f>+E134+E128+E126+E113+E116</f>
        <v>949975524.625</v>
      </c>
      <c r="F136" s="74"/>
      <c r="G136" s="74"/>
      <c r="H136" s="127"/>
      <c r="I136" s="74"/>
      <c r="J136" s="33">
        <f>+J134+J128+J126+J113+J116</f>
        <v>169015255.75538421</v>
      </c>
      <c r="K136" s="74"/>
      <c r="L136" s="74"/>
      <c r="N136" s="74"/>
      <c r="O136" s="74"/>
    </row>
    <row r="137" spans="1:17" ht="16.5" thickTop="1">
      <c r="A137" s="76"/>
      <c r="C137" s="67"/>
      <c r="D137" s="74"/>
      <c r="E137" s="126"/>
      <c r="F137" s="74"/>
      <c r="G137" s="74"/>
      <c r="H137" s="127"/>
      <c r="I137" s="74"/>
      <c r="J137" s="126"/>
      <c r="K137" s="74"/>
      <c r="L137" s="133"/>
    </row>
    <row r="138" spans="1:17">
      <c r="A138" s="76"/>
      <c r="C138" s="67"/>
      <c r="D138" s="74"/>
      <c r="E138" s="126"/>
      <c r="F138" s="74"/>
      <c r="G138" s="74"/>
      <c r="H138" s="127"/>
      <c r="I138" s="74"/>
      <c r="J138" s="126"/>
      <c r="K138" s="74"/>
      <c r="L138" s="133"/>
    </row>
    <row r="139" spans="1:17">
      <c r="A139" s="76"/>
      <c r="C139" s="67"/>
      <c r="D139" s="74"/>
      <c r="E139" s="126"/>
      <c r="F139" s="74"/>
      <c r="G139" s="74"/>
      <c r="H139" s="127"/>
      <c r="I139" s="74"/>
      <c r="J139" s="126"/>
      <c r="K139" s="74"/>
      <c r="L139" s="133"/>
    </row>
    <row r="140" spans="1:17">
      <c r="A140" s="76"/>
      <c r="C140" s="67"/>
      <c r="D140" s="74"/>
      <c r="E140" s="126"/>
      <c r="F140" s="74"/>
      <c r="G140" s="74"/>
      <c r="H140" s="127"/>
      <c r="I140" s="74"/>
      <c r="J140" s="126"/>
      <c r="K140" s="74"/>
      <c r="L140" s="133"/>
    </row>
    <row r="141" spans="1:17">
      <c r="A141" s="76"/>
      <c r="C141" s="67"/>
      <c r="D141" s="74"/>
      <c r="E141" s="126"/>
      <c r="F141" s="74"/>
      <c r="G141" s="74"/>
      <c r="H141" s="127"/>
      <c r="I141" s="74"/>
      <c r="J141" s="126"/>
      <c r="K141" s="74"/>
      <c r="L141" s="133"/>
    </row>
    <row r="142" spans="1:17">
      <c r="A142" s="76"/>
      <c r="C142" s="67"/>
      <c r="D142" s="74"/>
      <c r="E142" s="126"/>
      <c r="F142" s="74"/>
      <c r="G142" s="74"/>
      <c r="H142" s="127"/>
      <c r="I142" s="74"/>
      <c r="J142" s="126"/>
      <c r="K142" s="74"/>
      <c r="L142" s="133"/>
    </row>
    <row r="143" spans="1:17">
      <c r="A143" s="76"/>
      <c r="C143" s="67"/>
      <c r="D143" s="74"/>
      <c r="E143" s="126"/>
      <c r="F143" s="74"/>
      <c r="G143" s="74"/>
      <c r="H143" s="127"/>
      <c r="I143" s="74"/>
      <c r="J143" s="126"/>
      <c r="K143" s="74"/>
      <c r="L143" s="133"/>
    </row>
    <row r="144" spans="1:17">
      <c r="A144" s="76"/>
      <c r="C144" s="67"/>
      <c r="D144" s="74"/>
      <c r="E144" s="126"/>
      <c r="F144" s="74"/>
      <c r="G144" s="74"/>
      <c r="H144" s="127"/>
      <c r="I144" s="74"/>
      <c r="J144" s="126"/>
      <c r="K144" s="74"/>
      <c r="L144" s="133"/>
    </row>
    <row r="145" spans="1:12">
      <c r="A145" s="76"/>
      <c r="C145" s="67"/>
      <c r="D145" s="74"/>
      <c r="E145" s="126"/>
      <c r="F145" s="74"/>
      <c r="G145" s="74"/>
      <c r="H145" s="127"/>
      <c r="I145" s="74"/>
      <c r="J145" s="126"/>
      <c r="K145" s="74"/>
      <c r="L145" s="133"/>
    </row>
    <row r="146" spans="1:12">
      <c r="A146" s="76"/>
      <c r="C146" s="67"/>
      <c r="D146" s="74"/>
      <c r="E146" s="126"/>
      <c r="F146" s="74"/>
      <c r="G146" s="74"/>
      <c r="H146" s="127"/>
      <c r="I146" s="74"/>
      <c r="J146" s="126"/>
      <c r="K146" s="74"/>
      <c r="L146" s="133"/>
    </row>
    <row r="147" spans="1:12">
      <c r="A147" s="76"/>
      <c r="C147" s="67"/>
      <c r="D147" s="74"/>
      <c r="E147" s="126"/>
      <c r="F147" s="74"/>
      <c r="G147" s="74"/>
      <c r="H147" s="127"/>
      <c r="I147" s="74"/>
      <c r="J147" s="126"/>
      <c r="K147" s="74"/>
      <c r="L147" s="133"/>
    </row>
    <row r="148" spans="1:12">
      <c r="A148" s="76"/>
      <c r="C148" s="67"/>
      <c r="D148" s="74"/>
      <c r="E148" s="126"/>
      <c r="F148" s="74"/>
      <c r="G148" s="74"/>
      <c r="H148" s="127"/>
      <c r="I148" s="74"/>
      <c r="J148" s="126"/>
      <c r="K148" s="74"/>
      <c r="L148" s="133"/>
    </row>
    <row r="149" spans="1:12">
      <c r="A149" s="76"/>
      <c r="C149" s="67"/>
      <c r="D149" s="74"/>
      <c r="E149" s="126"/>
      <c r="F149" s="74"/>
      <c r="G149" s="74"/>
      <c r="H149" s="127"/>
      <c r="I149" s="74"/>
      <c r="J149" s="126"/>
      <c r="K149" s="74"/>
      <c r="L149" s="133"/>
    </row>
    <row r="150" spans="1:12">
      <c r="A150" s="76"/>
      <c r="C150" s="67"/>
      <c r="D150" s="74"/>
      <c r="E150" s="126"/>
      <c r="F150" s="74"/>
      <c r="G150" s="74"/>
      <c r="H150" s="127"/>
      <c r="I150" s="74"/>
      <c r="J150" s="126"/>
      <c r="K150" s="74"/>
      <c r="L150" s="133"/>
    </row>
    <row r="151" spans="1:12">
      <c r="A151" s="76"/>
      <c r="C151" s="67"/>
      <c r="D151" s="74"/>
      <c r="E151" s="126"/>
      <c r="F151" s="74"/>
      <c r="G151" s="74"/>
      <c r="H151" s="127"/>
      <c r="I151" s="74"/>
      <c r="J151" s="126"/>
      <c r="K151" s="74"/>
      <c r="L151" s="133"/>
    </row>
    <row r="152" spans="1:12">
      <c r="A152" s="76"/>
      <c r="C152" s="67"/>
      <c r="D152" s="74"/>
      <c r="E152" s="126"/>
      <c r="F152" s="74"/>
      <c r="G152" s="74"/>
      <c r="H152" s="127"/>
      <c r="I152" s="74"/>
      <c r="J152" s="126"/>
      <c r="K152" s="74"/>
      <c r="L152" s="133"/>
    </row>
    <row r="153" spans="1:12">
      <c r="A153" s="76"/>
      <c r="C153" s="67"/>
      <c r="D153" s="74"/>
      <c r="E153" s="126"/>
      <c r="F153" s="74"/>
      <c r="G153" s="74"/>
      <c r="H153" s="127"/>
      <c r="I153" s="74"/>
      <c r="J153" s="126"/>
      <c r="K153" s="74"/>
      <c r="L153" s="133"/>
    </row>
    <row r="154" spans="1:12">
      <c r="A154" s="76"/>
      <c r="C154" s="67"/>
      <c r="D154" s="74"/>
      <c r="E154" s="126"/>
      <c r="F154" s="74"/>
      <c r="G154" s="74"/>
      <c r="H154" s="127"/>
      <c r="I154" s="74"/>
      <c r="J154" s="126"/>
      <c r="K154" s="74"/>
      <c r="L154" s="133"/>
    </row>
    <row r="155" spans="1:12">
      <c r="A155" s="76"/>
      <c r="C155" s="67"/>
      <c r="D155" s="74"/>
      <c r="E155" s="126"/>
      <c r="F155" s="74"/>
      <c r="G155" s="74"/>
      <c r="H155" s="127"/>
      <c r="I155" s="74"/>
      <c r="J155" s="126"/>
      <c r="K155" s="74"/>
      <c r="L155" s="133"/>
    </row>
    <row r="156" spans="1:12">
      <c r="C156" s="67"/>
      <c r="D156" s="67"/>
      <c r="E156" s="68"/>
      <c r="F156" s="67"/>
      <c r="G156" s="67"/>
      <c r="H156" s="67"/>
      <c r="I156" s="69"/>
      <c r="J156" s="76"/>
      <c r="K156" s="76"/>
      <c r="L156" s="71"/>
    </row>
    <row r="157" spans="1:12">
      <c r="C157" s="67"/>
      <c r="D157" s="67"/>
      <c r="E157" s="68"/>
      <c r="F157" s="67"/>
      <c r="G157" s="67"/>
      <c r="H157" s="67"/>
      <c r="I157" s="69"/>
      <c r="J157" s="70"/>
      <c r="K157" s="70"/>
      <c r="L157" s="71"/>
    </row>
    <row r="158" spans="1:12">
      <c r="C158" s="67"/>
      <c r="D158" s="67"/>
      <c r="E158" s="68"/>
      <c r="F158" s="67"/>
      <c r="G158" s="67"/>
      <c r="H158" s="67"/>
      <c r="I158" s="69"/>
      <c r="J158" s="70"/>
      <c r="K158" s="70"/>
      <c r="L158" s="71"/>
    </row>
    <row r="159" spans="1:12">
      <c r="C159" s="67"/>
      <c r="D159" s="67"/>
      <c r="E159" s="68"/>
      <c r="F159" s="67"/>
      <c r="G159" s="67"/>
      <c r="H159" s="67"/>
      <c r="I159" s="69"/>
      <c r="J159" s="69"/>
      <c r="L159" s="70" t="s">
        <v>0</v>
      </c>
    </row>
    <row r="160" spans="1:12">
      <c r="C160" s="67"/>
      <c r="D160" s="67"/>
      <c r="E160" s="68"/>
      <c r="F160" s="67"/>
      <c r="G160" s="67"/>
      <c r="H160" s="67"/>
      <c r="I160" s="69"/>
      <c r="J160" s="69"/>
      <c r="K160" s="69"/>
      <c r="L160" s="71" t="s">
        <v>128</v>
      </c>
    </row>
    <row r="161" spans="1:15">
      <c r="C161" s="67"/>
      <c r="D161" s="67"/>
      <c r="E161" s="68"/>
      <c r="F161" s="67"/>
      <c r="G161" s="67"/>
      <c r="H161" s="67"/>
      <c r="I161" s="69"/>
      <c r="J161" s="69"/>
      <c r="K161" s="69"/>
      <c r="L161" s="71"/>
    </row>
    <row r="162" spans="1:15">
      <c r="C162" s="67" t="s">
        <v>2</v>
      </c>
      <c r="D162" s="67"/>
      <c r="E162" s="68" t="s">
        <v>3</v>
      </c>
      <c r="F162" s="67"/>
      <c r="G162" s="67"/>
      <c r="H162" s="67"/>
      <c r="I162" s="69"/>
      <c r="J162" s="204" t="str">
        <f>J5</f>
        <v>For the 12 months ended 12/31/16</v>
      </c>
      <c r="K162" s="1"/>
      <c r="L162" s="1"/>
    </row>
    <row r="163" spans="1:15">
      <c r="C163" s="67"/>
      <c r="D163" s="74" t="s">
        <v>4</v>
      </c>
      <c r="E163" s="74" t="s">
        <v>5</v>
      </c>
      <c r="F163" s="74"/>
      <c r="G163" s="74"/>
      <c r="H163" s="74"/>
      <c r="I163" s="69"/>
      <c r="J163" s="69"/>
      <c r="K163" s="69"/>
      <c r="L163" s="2"/>
    </row>
    <row r="164" spans="1:15">
      <c r="C164" s="67"/>
      <c r="D164" s="74"/>
      <c r="E164" s="74"/>
      <c r="F164" s="74"/>
      <c r="G164" s="74"/>
      <c r="H164" s="74"/>
      <c r="I164" s="69"/>
      <c r="J164" s="69"/>
      <c r="K164" s="69"/>
      <c r="L164" s="2"/>
    </row>
    <row r="165" spans="1:15">
      <c r="A165" s="76"/>
      <c r="E165" s="15" t="str">
        <f>E8</f>
        <v>Montana-Dakota Utilities Co.</v>
      </c>
      <c r="F165" s="78"/>
      <c r="G165" s="78"/>
      <c r="K165" s="74"/>
      <c r="L165" s="82"/>
    </row>
    <row r="166" spans="1:15">
      <c r="A166" s="76"/>
      <c r="C166" s="76" t="s">
        <v>67</v>
      </c>
      <c r="D166" s="76" t="s">
        <v>68</v>
      </c>
      <c r="E166" s="76" t="s">
        <v>69</v>
      </c>
      <c r="F166" s="74" t="s">
        <v>4</v>
      </c>
      <c r="G166" s="74"/>
      <c r="H166" s="113" t="s">
        <v>70</v>
      </c>
      <c r="I166" s="74"/>
      <c r="J166" s="114" t="s">
        <v>71</v>
      </c>
      <c r="K166" s="74"/>
      <c r="L166" s="82"/>
    </row>
    <row r="167" spans="1:15">
      <c r="A167" s="76"/>
      <c r="C167" s="76"/>
      <c r="D167" s="69"/>
      <c r="E167" s="69"/>
      <c r="F167" s="69"/>
      <c r="G167" s="69"/>
      <c r="H167" s="69"/>
      <c r="I167" s="69"/>
      <c r="J167" s="69"/>
      <c r="K167" s="69"/>
      <c r="L167" s="134"/>
    </row>
    <row r="168" spans="1:15">
      <c r="A168" s="76" t="s">
        <v>6</v>
      </c>
      <c r="C168" s="67"/>
      <c r="D168" s="115" t="s">
        <v>72</v>
      </c>
      <c r="E168" s="74"/>
      <c r="F168" s="74"/>
      <c r="G168" s="74"/>
      <c r="H168" s="76"/>
      <c r="I168" s="74"/>
      <c r="J168" s="116" t="s">
        <v>73</v>
      </c>
      <c r="K168" s="74"/>
      <c r="L168" s="134"/>
    </row>
    <row r="169" spans="1:15" ht="16.5" thickBot="1">
      <c r="A169" s="80" t="s">
        <v>8</v>
      </c>
      <c r="C169" s="67"/>
      <c r="D169" s="117" t="s">
        <v>74</v>
      </c>
      <c r="E169" s="116" t="s">
        <v>75</v>
      </c>
      <c r="F169" s="118"/>
      <c r="G169" s="116" t="s">
        <v>76</v>
      </c>
      <c r="I169" s="118"/>
      <c r="J169" s="76" t="s">
        <v>77</v>
      </c>
      <c r="K169" s="74"/>
      <c r="L169" s="134"/>
    </row>
    <row r="170" spans="1:15">
      <c r="C170" s="67"/>
      <c r="D170" s="74"/>
      <c r="E170" s="135"/>
      <c r="F170" s="136"/>
      <c r="G170" s="116"/>
      <c r="I170" s="136"/>
      <c r="J170" s="135"/>
      <c r="K170" s="74"/>
      <c r="L170" s="121"/>
      <c r="M170" s="100"/>
      <c r="N170" s="122"/>
      <c r="O170" s="122"/>
    </row>
    <row r="171" spans="1:15">
      <c r="A171" s="76"/>
      <c r="C171" s="67" t="s">
        <v>363</v>
      </c>
      <c r="D171" s="74"/>
      <c r="E171" s="74"/>
      <c r="F171" s="74"/>
      <c r="G171" s="74"/>
      <c r="H171" s="74"/>
      <c r="I171" s="74"/>
      <c r="J171" s="74"/>
      <c r="K171" s="74"/>
      <c r="L171" s="121"/>
      <c r="M171" s="100"/>
      <c r="N171" s="122"/>
      <c r="O171" s="122"/>
    </row>
    <row r="172" spans="1:15">
      <c r="A172" s="76">
        <v>1</v>
      </c>
      <c r="C172" s="67" t="s">
        <v>129</v>
      </c>
      <c r="D172" s="74" t="s">
        <v>130</v>
      </c>
      <c r="E172" s="50">
        <v>33897629</v>
      </c>
      <c r="F172" s="74"/>
      <c r="G172" s="74" t="s">
        <v>123</v>
      </c>
      <c r="H172" s="27">
        <f>J261</f>
        <v>0.89575293863317884</v>
      </c>
      <c r="I172" s="74"/>
      <c r="J172" s="8">
        <f>+H172*E172</f>
        <v>30363900.789447263</v>
      </c>
      <c r="K172" s="69"/>
      <c r="L172" s="126"/>
      <c r="M172" s="100"/>
      <c r="N172" s="126"/>
      <c r="O172" s="126"/>
    </row>
    <row r="173" spans="1:15">
      <c r="A173" s="109" t="s">
        <v>131</v>
      </c>
      <c r="B173" s="110"/>
      <c r="C173" s="111" t="s">
        <v>132</v>
      </c>
      <c r="D173" s="82"/>
      <c r="E173" s="50">
        <v>563657</v>
      </c>
      <c r="F173" s="74"/>
      <c r="G173" s="137"/>
      <c r="H173" s="125">
        <v>1</v>
      </c>
      <c r="I173" s="74"/>
      <c r="J173" s="8">
        <f>+H173*E173</f>
        <v>563657</v>
      </c>
      <c r="K173" s="69"/>
      <c r="L173" s="126"/>
      <c r="M173" s="100"/>
      <c r="N173" s="126"/>
      <c r="O173" s="126"/>
    </row>
    <row r="174" spans="1:15">
      <c r="A174" s="76">
        <v>2</v>
      </c>
      <c r="C174" s="67" t="s">
        <v>133</v>
      </c>
      <c r="D174" s="74" t="s">
        <v>134</v>
      </c>
      <c r="E174" s="50">
        <v>25069506</v>
      </c>
      <c r="F174" s="74"/>
      <c r="G174" s="74" t="s">
        <v>123</v>
      </c>
      <c r="H174" s="27">
        <f>+H172</f>
        <v>0.89575293863317884</v>
      </c>
      <c r="I174" s="74"/>
      <c r="J174" s="8">
        <f t="shared" ref="J174:J180" si="2">+H174*E174</f>
        <v>22456083.66958211</v>
      </c>
      <c r="K174" s="69"/>
      <c r="L174" s="126"/>
      <c r="M174" s="100"/>
      <c r="N174" s="126"/>
      <c r="O174" s="126"/>
    </row>
    <row r="175" spans="1:15">
      <c r="A175" s="76">
        <v>3</v>
      </c>
      <c r="C175" s="67" t="s">
        <v>135</v>
      </c>
      <c r="D175" s="74" t="s">
        <v>136</v>
      </c>
      <c r="E175" s="50">
        <v>22789189</v>
      </c>
      <c r="F175" s="74"/>
      <c r="G175" s="74" t="s">
        <v>88</v>
      </c>
      <c r="H175" s="27">
        <f>+H103</f>
        <v>0.14454964323541608</v>
      </c>
      <c r="I175" s="74"/>
      <c r="J175" s="8">
        <f t="shared" si="2"/>
        <v>3294169.1395744686</v>
      </c>
      <c r="K175" s="74"/>
      <c r="L175" s="126"/>
      <c r="M175" s="100"/>
      <c r="N175" s="126"/>
      <c r="O175" s="126"/>
    </row>
    <row r="176" spans="1:15">
      <c r="A176" s="76">
        <v>4</v>
      </c>
      <c r="C176" s="67" t="s">
        <v>137</v>
      </c>
      <c r="D176" s="74"/>
      <c r="E176" s="50">
        <v>433566</v>
      </c>
      <c r="F176" s="74"/>
      <c r="G176" s="8" t="str">
        <f>+G175</f>
        <v>W/S</v>
      </c>
      <c r="H176" s="27">
        <f>+H175</f>
        <v>0.14454964323541608</v>
      </c>
      <c r="I176" s="74"/>
      <c r="J176" s="8">
        <f t="shared" si="2"/>
        <v>62671.810619006406</v>
      </c>
      <c r="K176" s="74"/>
      <c r="L176" s="126"/>
      <c r="M176" s="100"/>
      <c r="N176" s="126"/>
      <c r="O176" s="126"/>
    </row>
    <row r="177" spans="1:15">
      <c r="A177" s="76">
        <v>5</v>
      </c>
      <c r="C177" s="111" t="s">
        <v>138</v>
      </c>
      <c r="D177" s="82"/>
      <c r="E177" s="50">
        <v>213714</v>
      </c>
      <c r="F177" s="74"/>
      <c r="G177" s="8" t="str">
        <f>+G176</f>
        <v>W/S</v>
      </c>
      <c r="H177" s="27">
        <f>+H176</f>
        <v>0.14454964323541608</v>
      </c>
      <c r="I177" s="74"/>
      <c r="J177" s="8">
        <f t="shared" si="2"/>
        <v>30892.282454413711</v>
      </c>
      <c r="K177" s="74"/>
      <c r="L177" s="126"/>
      <c r="M177" s="100"/>
      <c r="N177" s="126"/>
      <c r="O177" s="126"/>
    </row>
    <row r="178" spans="1:15">
      <c r="A178" s="76" t="s">
        <v>139</v>
      </c>
      <c r="C178" s="111" t="s">
        <v>140</v>
      </c>
      <c r="D178" s="82"/>
      <c r="E178" s="50">
        <v>8342</v>
      </c>
      <c r="F178" s="74"/>
      <c r="G178" s="34" t="str">
        <f>+G172</f>
        <v>TE</v>
      </c>
      <c r="H178" s="35">
        <f>+H172</f>
        <v>0.89575293863317884</v>
      </c>
      <c r="I178" s="74"/>
      <c r="J178" s="8">
        <f>+H178*E178</f>
        <v>7472.3710140779776</v>
      </c>
      <c r="K178" s="74"/>
      <c r="L178" s="126"/>
      <c r="M178" s="100"/>
      <c r="N178" s="126"/>
      <c r="O178" s="126"/>
    </row>
    <row r="179" spans="1:15">
      <c r="A179" s="76">
        <v>6</v>
      </c>
      <c r="C179" s="111" t="s">
        <v>89</v>
      </c>
      <c r="D179" s="11" t="str">
        <f>+D104</f>
        <v>356.1</v>
      </c>
      <c r="E179" s="50">
        <v>0</v>
      </c>
      <c r="F179" s="74"/>
      <c r="G179" s="74" t="s">
        <v>91</v>
      </c>
      <c r="H179" s="27">
        <f>+H104</f>
        <v>0.10146554692646804</v>
      </c>
      <c r="I179" s="74"/>
      <c r="J179" s="8">
        <f t="shared" si="2"/>
        <v>0</v>
      </c>
      <c r="K179" s="74"/>
      <c r="L179" s="126"/>
      <c r="M179" s="100"/>
      <c r="N179" s="126"/>
      <c r="O179" s="126"/>
    </row>
    <row r="180" spans="1:15" ht="16.5" thickBot="1">
      <c r="A180" s="76">
        <v>7</v>
      </c>
      <c r="C180" s="67" t="s">
        <v>141</v>
      </c>
      <c r="D180" s="74"/>
      <c r="E180" s="56">
        <v>0</v>
      </c>
      <c r="F180" s="74"/>
      <c r="G180" s="74" t="s">
        <v>4</v>
      </c>
      <c r="H180" s="125">
        <v>1</v>
      </c>
      <c r="I180" s="74"/>
      <c r="J180" s="19">
        <f t="shared" si="2"/>
        <v>0</v>
      </c>
      <c r="K180" s="74"/>
      <c r="L180" s="126"/>
      <c r="M180" s="100"/>
      <c r="N180" s="126"/>
      <c r="O180" s="126"/>
    </row>
    <row r="181" spans="1:15">
      <c r="A181" s="76">
        <v>8</v>
      </c>
      <c r="C181" s="67" t="s">
        <v>142</v>
      </c>
      <c r="D181" s="74"/>
      <c r="E181" s="8">
        <f>+E172-E173-E174+E175-E176-E177+E178+E179+E180</f>
        <v>30414717</v>
      </c>
      <c r="F181" s="74"/>
      <c r="G181" s="74"/>
      <c r="H181" s="74"/>
      <c r="I181" s="74"/>
      <c r="J181" s="8">
        <f>+J172-J173-J174+J175-J176-J177+J178+J179+J180</f>
        <v>10552237.537380278</v>
      </c>
      <c r="K181" s="74"/>
      <c r="L181" s="126"/>
      <c r="M181" s="100"/>
      <c r="N181" s="126"/>
      <c r="O181" s="126"/>
    </row>
    <row r="182" spans="1:15">
      <c r="A182" s="76"/>
      <c r="D182" s="74"/>
      <c r="F182" s="74"/>
      <c r="G182" s="74"/>
      <c r="H182" s="74"/>
      <c r="I182" s="74"/>
      <c r="K182" s="74"/>
      <c r="L182" s="120"/>
      <c r="M182" s="100"/>
      <c r="N182" s="100"/>
      <c r="O182" s="100"/>
    </row>
    <row r="183" spans="1:15">
      <c r="A183" s="76"/>
      <c r="C183" s="132" t="s">
        <v>364</v>
      </c>
      <c r="D183" s="74"/>
      <c r="E183" s="74"/>
      <c r="F183" s="74"/>
      <c r="G183" s="74"/>
      <c r="H183" s="74"/>
      <c r="I183" s="74"/>
      <c r="J183" s="74"/>
      <c r="K183" s="74"/>
      <c r="L183" s="120"/>
      <c r="M183" s="100"/>
      <c r="N183" s="100"/>
      <c r="O183" s="100"/>
    </row>
    <row r="184" spans="1:15">
      <c r="A184" s="76">
        <v>9</v>
      </c>
      <c r="C184" s="14" t="str">
        <f>+C172</f>
        <v xml:space="preserve">  Transmission </v>
      </c>
      <c r="D184" s="74" t="s">
        <v>143</v>
      </c>
      <c r="E184" s="50">
        <v>5000070</v>
      </c>
      <c r="F184" s="74"/>
      <c r="G184" s="74" t="s">
        <v>17</v>
      </c>
      <c r="H184" s="27">
        <f>+H128</f>
        <v>0.93314209828360362</v>
      </c>
      <c r="I184" s="74"/>
      <c r="J184" s="8">
        <f>+H184*E184</f>
        <v>4665775.8113648975</v>
      </c>
      <c r="K184" s="74"/>
      <c r="L184" s="126"/>
      <c r="M184" s="100"/>
      <c r="N184" s="126"/>
      <c r="O184" s="126"/>
    </row>
    <row r="185" spans="1:15">
      <c r="A185" s="138" t="s">
        <v>144</v>
      </c>
      <c r="B185" s="139"/>
      <c r="C185" s="89" t="s">
        <v>145</v>
      </c>
      <c r="D185" s="91" t="s">
        <v>354</v>
      </c>
      <c r="E185" s="50">
        <v>0</v>
      </c>
      <c r="F185" s="140"/>
      <c r="G185" s="140" t="s">
        <v>384</v>
      </c>
      <c r="H185" s="141">
        <v>1</v>
      </c>
      <c r="I185" s="140"/>
      <c r="J185" s="36">
        <f>+H185*E185</f>
        <v>0</v>
      </c>
      <c r="K185" s="74"/>
      <c r="L185" s="126"/>
      <c r="M185" s="100"/>
      <c r="N185" s="126"/>
      <c r="O185" s="126"/>
    </row>
    <row r="186" spans="1:15">
      <c r="A186" s="76">
        <v>10</v>
      </c>
      <c r="C186" s="132" t="s">
        <v>86</v>
      </c>
      <c r="D186" s="140" t="s">
        <v>146</v>
      </c>
      <c r="E186" s="50">
        <v>705081</v>
      </c>
      <c r="F186" s="74"/>
      <c r="G186" s="74" t="s">
        <v>88</v>
      </c>
      <c r="H186" s="27">
        <f>+H175</f>
        <v>0.14454964323541608</v>
      </c>
      <c r="I186" s="74"/>
      <c r="J186" s="8">
        <f>+H186*E186</f>
        <v>101919.20700207041</v>
      </c>
      <c r="K186" s="74"/>
      <c r="L186" s="126"/>
      <c r="M186" s="100"/>
      <c r="N186" s="126"/>
      <c r="O186" s="126"/>
    </row>
    <row r="187" spans="1:15" ht="16.5" thickBot="1">
      <c r="A187" s="76">
        <v>11</v>
      </c>
      <c r="C187" s="14" t="str">
        <f>+C179</f>
        <v xml:space="preserve">  Common</v>
      </c>
      <c r="D187" s="74" t="s">
        <v>147</v>
      </c>
      <c r="E187" s="56">
        <v>1510133</v>
      </c>
      <c r="F187" s="74"/>
      <c r="G187" s="74" t="s">
        <v>91</v>
      </c>
      <c r="H187" s="27">
        <f>+H179</f>
        <v>0.10146554692646804</v>
      </c>
      <c r="I187" s="74"/>
      <c r="J187" s="19">
        <f>+H187*E187</f>
        <v>153226.47077670798</v>
      </c>
      <c r="K187" s="74"/>
      <c r="L187" s="126"/>
      <c r="M187" s="100"/>
      <c r="N187" s="126"/>
      <c r="O187" s="126"/>
    </row>
    <row r="188" spans="1:15">
      <c r="A188" s="76">
        <v>12</v>
      </c>
      <c r="C188" s="67" t="s">
        <v>148</v>
      </c>
      <c r="D188" s="74"/>
      <c r="E188" s="8">
        <f>SUM(E184:E187)</f>
        <v>7215284</v>
      </c>
      <c r="F188" s="74"/>
      <c r="G188" s="74"/>
      <c r="H188" s="74"/>
      <c r="I188" s="74"/>
      <c r="J188" s="8">
        <f>SUM(J184:J187)</f>
        <v>4920921.4891436761</v>
      </c>
      <c r="K188" s="74"/>
      <c r="L188" s="126"/>
      <c r="M188" s="100"/>
      <c r="N188" s="126"/>
      <c r="O188" s="126"/>
    </row>
    <row r="189" spans="1:15">
      <c r="A189" s="76"/>
      <c r="C189" s="67"/>
      <c r="D189" s="74"/>
      <c r="E189" s="74"/>
      <c r="F189" s="74"/>
      <c r="G189" s="74"/>
      <c r="H189" s="74"/>
      <c r="I189" s="74"/>
      <c r="J189" s="74"/>
      <c r="K189" s="74"/>
      <c r="L189" s="126"/>
      <c r="M189" s="100"/>
      <c r="N189" s="126"/>
      <c r="O189" s="126"/>
    </row>
    <row r="190" spans="1:15">
      <c r="A190" s="76" t="s">
        <v>4</v>
      </c>
      <c r="C190" s="67" t="s">
        <v>149</v>
      </c>
      <c r="E190" s="74"/>
      <c r="F190" s="74"/>
      <c r="G190" s="74"/>
      <c r="H190" s="74"/>
      <c r="I190" s="74"/>
      <c r="J190" s="74"/>
      <c r="K190" s="74"/>
      <c r="L190" s="126"/>
      <c r="M190" s="100"/>
      <c r="N190" s="126"/>
      <c r="O190" s="126"/>
    </row>
    <row r="191" spans="1:15">
      <c r="A191" s="76"/>
      <c r="C191" s="67" t="s">
        <v>150</v>
      </c>
      <c r="F191" s="74"/>
      <c r="G191" s="74"/>
      <c r="I191" s="74"/>
      <c r="K191" s="74"/>
      <c r="L191" s="126"/>
      <c r="M191" s="100"/>
      <c r="N191" s="126"/>
      <c r="O191" s="126"/>
    </row>
    <row r="192" spans="1:15">
      <c r="A192" s="76">
        <v>13</v>
      </c>
      <c r="C192" s="67" t="s">
        <v>151</v>
      </c>
      <c r="D192" s="74" t="s">
        <v>152</v>
      </c>
      <c r="E192" s="50">
        <v>2401637</v>
      </c>
      <c r="F192" s="74"/>
      <c r="G192" s="74" t="s">
        <v>88</v>
      </c>
      <c r="H192" s="18">
        <f>+H186</f>
        <v>0.14454964323541608</v>
      </c>
      <c r="I192" s="74"/>
      <c r="J192" s="8">
        <f>+H192*E192</f>
        <v>347155.77153097495</v>
      </c>
      <c r="K192" s="74"/>
      <c r="L192" s="126"/>
      <c r="M192" s="100"/>
      <c r="N192" s="126"/>
      <c r="O192" s="126"/>
    </row>
    <row r="193" spans="1:15">
      <c r="A193" s="76">
        <v>14</v>
      </c>
      <c r="C193" s="67" t="s">
        <v>153</v>
      </c>
      <c r="D193" s="8" t="str">
        <f>+D192</f>
        <v>263.i</v>
      </c>
      <c r="E193" s="50">
        <v>4689</v>
      </c>
      <c r="F193" s="74"/>
      <c r="G193" s="8" t="str">
        <f>+G192</f>
        <v>W/S</v>
      </c>
      <c r="H193" s="18">
        <f>+H192</f>
        <v>0.14454964323541608</v>
      </c>
      <c r="I193" s="74"/>
      <c r="J193" s="8">
        <f>+H193*E193</f>
        <v>677.79327713086604</v>
      </c>
      <c r="K193" s="74"/>
      <c r="L193" s="126"/>
      <c r="M193" s="100"/>
      <c r="N193" s="126"/>
      <c r="O193" s="126"/>
    </row>
    <row r="194" spans="1:15">
      <c r="A194" s="76">
        <v>15</v>
      </c>
      <c r="C194" s="67" t="s">
        <v>154</v>
      </c>
      <c r="D194" s="74" t="s">
        <v>4</v>
      </c>
      <c r="F194" s="74"/>
      <c r="G194" s="74"/>
      <c r="I194" s="74"/>
      <c r="K194" s="74"/>
      <c r="L194" s="126"/>
      <c r="M194" s="100"/>
      <c r="N194" s="126"/>
      <c r="O194" s="126"/>
    </row>
    <row r="195" spans="1:15">
      <c r="A195" s="76">
        <v>16</v>
      </c>
      <c r="C195" s="67" t="s">
        <v>155</v>
      </c>
      <c r="D195" s="74" t="s">
        <v>152</v>
      </c>
      <c r="E195" s="50">
        <v>7982435</v>
      </c>
      <c r="F195" s="74"/>
      <c r="G195" s="74" t="s">
        <v>125</v>
      </c>
      <c r="H195" s="18">
        <f>+H97</f>
        <v>0.15742964318632391</v>
      </c>
      <c r="I195" s="74"/>
      <c r="J195" s="8">
        <f>+H195*E195</f>
        <v>1256671.8938080235</v>
      </c>
      <c r="K195" s="74"/>
      <c r="L195" s="126"/>
      <c r="M195" s="100"/>
      <c r="N195" s="126"/>
      <c r="O195" s="126"/>
    </row>
    <row r="196" spans="1:15">
      <c r="A196" s="76">
        <v>17</v>
      </c>
      <c r="C196" s="67" t="s">
        <v>156</v>
      </c>
      <c r="D196" s="74" t="s">
        <v>152</v>
      </c>
      <c r="E196" s="50">
        <v>261778</v>
      </c>
      <c r="F196" s="74"/>
      <c r="G196" s="11" t="str">
        <f>+G119</f>
        <v>NA</v>
      </c>
      <c r="H196" s="142" t="s">
        <v>109</v>
      </c>
      <c r="I196" s="74"/>
      <c r="J196" s="74">
        <v>0</v>
      </c>
      <c r="K196" s="74"/>
      <c r="L196" s="126"/>
      <c r="M196" s="100"/>
      <c r="N196" s="126"/>
      <c r="O196" s="126"/>
    </row>
    <row r="197" spans="1:15">
      <c r="A197" s="76">
        <v>18</v>
      </c>
      <c r="C197" s="67" t="s">
        <v>157</v>
      </c>
      <c r="D197" s="8" t="str">
        <f>+D196</f>
        <v>263.i</v>
      </c>
      <c r="E197" s="50">
        <v>1391111</v>
      </c>
      <c r="F197" s="74"/>
      <c r="G197" s="8" t="str">
        <f>+G195</f>
        <v>GP</v>
      </c>
      <c r="H197" s="18">
        <f>+H195</f>
        <v>0.15742964318632391</v>
      </c>
      <c r="I197" s="74"/>
      <c r="J197" s="8">
        <f>+H197*E197</f>
        <v>219002.10836257023</v>
      </c>
      <c r="K197" s="74"/>
      <c r="L197" s="126"/>
      <c r="M197" s="100"/>
      <c r="N197" s="126"/>
      <c r="O197" s="126"/>
    </row>
    <row r="198" spans="1:15" ht="16.5" thickBot="1">
      <c r="A198" s="76">
        <v>19</v>
      </c>
      <c r="C198" s="67" t="s">
        <v>158</v>
      </c>
      <c r="D198" s="74"/>
      <c r="E198" s="56">
        <v>97460</v>
      </c>
      <c r="F198" s="74"/>
      <c r="G198" s="74" t="s">
        <v>125</v>
      </c>
      <c r="H198" s="18">
        <f>+H195</f>
        <v>0.15742964318632391</v>
      </c>
      <c r="I198" s="74"/>
      <c r="J198" s="19">
        <f>+H198*E198</f>
        <v>15343.093024939128</v>
      </c>
      <c r="K198" s="74"/>
      <c r="L198" s="126"/>
      <c r="M198" s="100"/>
      <c r="N198" s="126"/>
      <c r="O198" s="126"/>
    </row>
    <row r="199" spans="1:15">
      <c r="A199" s="76">
        <v>20</v>
      </c>
      <c r="C199" s="67" t="s">
        <v>159</v>
      </c>
      <c r="D199" s="74"/>
      <c r="E199" s="8">
        <f>SUM(E192:E198)</f>
        <v>12139110</v>
      </c>
      <c r="F199" s="74"/>
      <c r="G199" s="74"/>
      <c r="H199" s="84"/>
      <c r="I199" s="74"/>
      <c r="J199" s="8">
        <f>SUM(J192:J198)</f>
        <v>1838850.6600036386</v>
      </c>
      <c r="K199" s="74"/>
      <c r="L199" s="126"/>
      <c r="M199" s="100"/>
      <c r="N199" s="126"/>
      <c r="O199" s="126"/>
    </row>
    <row r="200" spans="1:15">
      <c r="A200" s="76"/>
      <c r="C200" s="67"/>
      <c r="D200" s="74"/>
      <c r="E200" s="74"/>
      <c r="F200" s="74"/>
      <c r="G200" s="74"/>
      <c r="H200" s="84"/>
      <c r="I200" s="74"/>
      <c r="J200" s="74"/>
      <c r="K200" s="74"/>
      <c r="L200" s="126"/>
      <c r="M200" s="100"/>
      <c r="N200" s="126"/>
      <c r="O200" s="126"/>
    </row>
    <row r="201" spans="1:15">
      <c r="A201" s="76" t="s">
        <v>160</v>
      </c>
      <c r="C201" s="67"/>
      <c r="D201" s="74"/>
      <c r="E201" s="74"/>
      <c r="F201" s="74"/>
      <c r="G201" s="74"/>
      <c r="H201" s="84"/>
      <c r="I201" s="74"/>
      <c r="J201" s="74"/>
      <c r="K201" s="74"/>
      <c r="L201" s="74"/>
      <c r="N201" s="74"/>
      <c r="O201" s="74"/>
    </row>
    <row r="202" spans="1:15">
      <c r="A202" s="76" t="s">
        <v>4</v>
      </c>
      <c r="C202" s="67" t="s">
        <v>161</v>
      </c>
      <c r="D202" s="74" t="s">
        <v>162</v>
      </c>
      <c r="E202" s="74"/>
      <c r="F202" s="74"/>
      <c r="H202" s="143"/>
      <c r="I202" s="74"/>
      <c r="K202" s="74"/>
      <c r="L202" s="74"/>
      <c r="N202" s="74"/>
      <c r="O202" s="74"/>
    </row>
    <row r="203" spans="1:15">
      <c r="A203" s="76">
        <v>21</v>
      </c>
      <c r="C203" s="144" t="s">
        <v>163</v>
      </c>
      <c r="D203" s="74"/>
      <c r="E203" s="37">
        <f>IF(E353&gt;0,1-(((1-E354)*(1-E353))/(1-E354*E353*E355)),0)</f>
        <v>0.38022499999999992</v>
      </c>
      <c r="F203" s="74"/>
      <c r="H203" s="143"/>
      <c r="I203" s="74"/>
      <c r="K203" s="74"/>
      <c r="L203" s="74"/>
      <c r="N203" s="74"/>
      <c r="O203" s="74"/>
    </row>
    <row r="204" spans="1:15">
      <c r="A204" s="76">
        <v>22</v>
      </c>
      <c r="C204" s="66" t="s">
        <v>164</v>
      </c>
      <c r="D204" s="74"/>
      <c r="E204" s="37">
        <f>IF(J293&gt;0,(E203/(1-E203))*(1-J290/J293),0)</f>
        <v>0.4493706302805161</v>
      </c>
      <c r="F204" s="74"/>
      <c r="H204" s="143"/>
      <c r="I204" s="74"/>
      <c r="K204" s="74"/>
      <c r="L204" s="74"/>
      <c r="N204" s="74"/>
      <c r="O204" s="74"/>
    </row>
    <row r="205" spans="1:15">
      <c r="A205" s="76"/>
      <c r="C205" s="67" t="s">
        <v>165</v>
      </c>
      <c r="D205" s="74"/>
      <c r="E205" s="74"/>
      <c r="F205" s="74"/>
      <c r="H205" s="143"/>
      <c r="I205" s="74"/>
      <c r="K205" s="74"/>
      <c r="L205" s="126"/>
      <c r="N205" s="126"/>
      <c r="O205" s="126"/>
    </row>
    <row r="206" spans="1:15">
      <c r="A206" s="76"/>
      <c r="C206" s="67" t="s">
        <v>166</v>
      </c>
      <c r="D206" s="74"/>
      <c r="E206" s="74"/>
      <c r="F206" s="74"/>
      <c r="H206" s="143"/>
      <c r="I206" s="74"/>
      <c r="K206" s="74"/>
      <c r="L206" s="74"/>
      <c r="N206" s="74"/>
      <c r="O206" s="74"/>
    </row>
    <row r="207" spans="1:15">
      <c r="A207" s="76">
        <v>23</v>
      </c>
      <c r="C207" s="144" t="s">
        <v>167</v>
      </c>
      <c r="D207" s="74"/>
      <c r="E207" s="38">
        <f>IF(E203&gt;0,1/(1-E203),0)</f>
        <v>1.6134887660844659</v>
      </c>
      <c r="F207" s="74"/>
      <c r="H207" s="143"/>
      <c r="I207" s="74"/>
      <c r="K207" s="74"/>
      <c r="L207" s="74"/>
      <c r="N207" s="74"/>
      <c r="O207" s="74"/>
    </row>
    <row r="208" spans="1:15">
      <c r="A208" s="76">
        <v>24</v>
      </c>
      <c r="C208" s="67" t="s">
        <v>168</v>
      </c>
      <c r="D208" s="145"/>
      <c r="E208" s="50">
        <v>0</v>
      </c>
      <c r="F208" s="74"/>
      <c r="H208" s="143"/>
      <c r="I208" s="74"/>
      <c r="K208" s="74"/>
      <c r="L208" s="74"/>
      <c r="N208" s="74"/>
      <c r="O208" s="74"/>
    </row>
    <row r="209" spans="1:15">
      <c r="A209" s="76"/>
      <c r="C209" s="67"/>
      <c r="D209" s="74"/>
      <c r="E209" s="74"/>
      <c r="F209" s="74"/>
      <c r="H209" s="143"/>
      <c r="I209" s="74"/>
      <c r="K209" s="74"/>
      <c r="L209" s="74"/>
      <c r="N209" s="74"/>
      <c r="O209" s="74"/>
    </row>
    <row r="210" spans="1:15">
      <c r="A210" s="76">
        <v>25</v>
      </c>
      <c r="C210" s="144" t="s">
        <v>169</v>
      </c>
      <c r="D210" s="146"/>
      <c r="E210" s="8">
        <f>E204*E214</f>
        <v>36451139.239781924</v>
      </c>
      <c r="F210" s="74"/>
      <c r="G210" s="74" t="s">
        <v>81</v>
      </c>
      <c r="H210" s="84"/>
      <c r="I210" s="74"/>
      <c r="J210" s="8">
        <f>E204*J214</f>
        <v>6485218.2624587296</v>
      </c>
      <c r="K210" s="74"/>
      <c r="L210" s="126"/>
      <c r="M210" s="100"/>
      <c r="N210" s="126"/>
      <c r="O210" s="126"/>
    </row>
    <row r="211" spans="1:15" ht="16.5" thickBot="1">
      <c r="A211" s="76">
        <v>26</v>
      </c>
      <c r="C211" s="66" t="s">
        <v>170</v>
      </c>
      <c r="D211" s="146"/>
      <c r="E211" s="39">
        <f>E207*E208</f>
        <v>0</v>
      </c>
      <c r="F211" s="74"/>
      <c r="G211" s="66" t="s">
        <v>111</v>
      </c>
      <c r="H211" s="18">
        <f>H113</f>
        <v>0.15008667397284473</v>
      </c>
      <c r="I211" s="74"/>
      <c r="J211" s="39">
        <f>H211*E211</f>
        <v>0</v>
      </c>
      <c r="K211" s="74"/>
      <c r="L211" s="126"/>
      <c r="M211" s="100"/>
      <c r="N211" s="126"/>
      <c r="O211" s="126"/>
    </row>
    <row r="212" spans="1:15">
      <c r="A212" s="76">
        <v>27</v>
      </c>
      <c r="C212" s="144" t="s">
        <v>171</v>
      </c>
      <c r="D212" s="66" t="s">
        <v>172</v>
      </c>
      <c r="E212" s="40">
        <f>+E210+E211</f>
        <v>36451139.239781924</v>
      </c>
      <c r="F212" s="74"/>
      <c r="G212" s="74" t="s">
        <v>4</v>
      </c>
      <c r="H212" s="84" t="s">
        <v>4</v>
      </c>
      <c r="I212" s="74"/>
      <c r="J212" s="40">
        <f>+J210+J211</f>
        <v>6485218.2624587296</v>
      </c>
      <c r="K212" s="74"/>
      <c r="L212" s="126"/>
      <c r="M212" s="100"/>
      <c r="N212" s="126"/>
      <c r="O212" s="126"/>
    </row>
    <row r="213" spans="1:15">
      <c r="A213" s="76" t="s">
        <v>4</v>
      </c>
      <c r="D213" s="148"/>
      <c r="E213" s="74"/>
      <c r="F213" s="74"/>
      <c r="G213" s="74"/>
      <c r="H213" s="84"/>
      <c r="I213" s="74"/>
      <c r="J213" s="74"/>
      <c r="K213" s="74"/>
      <c r="L213" s="126"/>
      <c r="M213" s="100"/>
      <c r="N213" s="126"/>
      <c r="O213" s="126"/>
    </row>
    <row r="214" spans="1:15">
      <c r="A214" s="76">
        <v>28</v>
      </c>
      <c r="C214" s="67" t="s">
        <v>173</v>
      </c>
      <c r="D214" s="127"/>
      <c r="E214" s="8">
        <f>+$J293*E136</f>
        <v>81115980.403587088</v>
      </c>
      <c r="F214" s="74"/>
      <c r="G214" s="74" t="s">
        <v>81</v>
      </c>
      <c r="H214" s="143"/>
      <c r="I214" s="74"/>
      <c r="J214" s="8">
        <f>+$J293*J136</f>
        <v>14431780.417893317</v>
      </c>
      <c r="K214" s="74"/>
      <c r="L214" s="126"/>
      <c r="M214" s="100"/>
      <c r="N214" s="126"/>
      <c r="O214" s="126"/>
    </row>
    <row r="215" spans="1:15">
      <c r="A215" s="76"/>
      <c r="C215" s="144" t="s">
        <v>174</v>
      </c>
      <c r="E215" s="74"/>
      <c r="F215" s="74"/>
      <c r="G215" s="74"/>
      <c r="H215" s="143"/>
      <c r="I215" s="74"/>
      <c r="J215" s="74"/>
      <c r="K215" s="74"/>
      <c r="L215" s="74"/>
      <c r="N215" s="74"/>
      <c r="O215" s="74"/>
    </row>
    <row r="216" spans="1:15">
      <c r="A216" s="76"/>
      <c r="C216" s="67"/>
      <c r="E216" s="126"/>
      <c r="F216" s="74"/>
      <c r="G216" s="74"/>
      <c r="H216" s="143"/>
      <c r="I216" s="74"/>
      <c r="J216" s="126"/>
      <c r="K216" s="74"/>
      <c r="L216" s="74"/>
      <c r="N216" s="74"/>
      <c r="O216" s="74"/>
    </row>
    <row r="217" spans="1:15">
      <c r="A217" s="76">
        <v>29</v>
      </c>
      <c r="C217" s="67" t="s">
        <v>175</v>
      </c>
      <c r="D217" s="74"/>
      <c r="E217" s="13">
        <f>+E214+E212+E199+E188+E181</f>
        <v>167336230.64336902</v>
      </c>
      <c r="F217" s="74"/>
      <c r="G217" s="74"/>
      <c r="H217" s="74"/>
      <c r="I217" s="74"/>
      <c r="J217" s="28">
        <f>+J214+J212+J199+J188+J181</f>
        <v>38229008.366879642</v>
      </c>
      <c r="K217" s="69"/>
      <c r="L217" s="74"/>
      <c r="N217" s="74"/>
      <c r="O217" s="74"/>
    </row>
    <row r="218" spans="1:15">
      <c r="A218" s="76">
        <v>30</v>
      </c>
      <c r="C218" s="123" t="s">
        <v>176</v>
      </c>
      <c r="D218" s="91"/>
      <c r="E218" s="126"/>
      <c r="F218" s="74"/>
      <c r="G218" s="74"/>
      <c r="H218" s="74"/>
      <c r="I218" s="74"/>
      <c r="J218" s="126"/>
      <c r="K218" s="69"/>
      <c r="L218" s="74"/>
      <c r="N218" s="74"/>
      <c r="O218" s="74"/>
    </row>
    <row r="219" spans="1:15">
      <c r="C219" s="237" t="s">
        <v>177</v>
      </c>
      <c r="D219" s="237"/>
      <c r="E219" s="126"/>
      <c r="F219" s="74"/>
      <c r="G219" s="74"/>
      <c r="H219" s="74"/>
      <c r="I219" s="74"/>
      <c r="J219" s="126"/>
      <c r="K219" s="69"/>
      <c r="L219" s="74"/>
      <c r="N219" s="74"/>
      <c r="O219" s="74"/>
    </row>
    <row r="220" spans="1:15">
      <c r="A220" s="76"/>
      <c r="C220" s="123" t="s">
        <v>178</v>
      </c>
      <c r="D220" s="91"/>
      <c r="E220" s="50">
        <v>1570756.6488842727</v>
      </c>
      <c r="F220" s="74"/>
      <c r="G220" s="74"/>
      <c r="H220" s="74"/>
      <c r="I220" s="74"/>
      <c r="J220" s="205">
        <f>+E220</f>
        <v>1570756.6488842727</v>
      </c>
      <c r="K220" s="69"/>
      <c r="L220" s="74"/>
      <c r="N220" s="74"/>
      <c r="O220" s="74"/>
    </row>
    <row r="221" spans="1:15">
      <c r="A221" s="76"/>
      <c r="C221" s="123"/>
      <c r="D221" s="91"/>
      <c r="E221" s="82"/>
      <c r="F221" s="74"/>
      <c r="G221" s="74"/>
      <c r="H221" s="74"/>
      <c r="I221" s="74"/>
      <c r="J221" s="126"/>
      <c r="K221" s="69"/>
      <c r="L221" s="126"/>
      <c r="N221" s="126"/>
      <c r="O221" s="126"/>
    </row>
    <row r="222" spans="1:15">
      <c r="A222" s="76" t="s">
        <v>179</v>
      </c>
      <c r="C222" s="123" t="s">
        <v>373</v>
      </c>
      <c r="D222" s="91"/>
      <c r="E222" s="126"/>
      <c r="F222" s="74"/>
      <c r="G222" s="74"/>
      <c r="H222" s="74"/>
      <c r="I222" s="74"/>
      <c r="J222" s="126"/>
      <c r="K222" s="69"/>
      <c r="L222" s="74"/>
      <c r="N222" s="74"/>
      <c r="O222" s="74"/>
    </row>
    <row r="223" spans="1:15">
      <c r="C223" s="237" t="s">
        <v>177</v>
      </c>
      <c r="D223" s="237"/>
      <c r="E223" s="126"/>
      <c r="F223" s="74"/>
      <c r="G223" s="74"/>
      <c r="H223" s="74"/>
      <c r="I223" s="74"/>
      <c r="J223" s="126"/>
      <c r="K223" s="69"/>
      <c r="L223" s="74"/>
      <c r="N223" s="74"/>
      <c r="O223" s="74"/>
    </row>
    <row r="224" spans="1:15" ht="16.5" thickBot="1">
      <c r="A224" s="76"/>
      <c r="C224" s="123" t="s">
        <v>180</v>
      </c>
      <c r="D224" s="91"/>
      <c r="E224" s="61">
        <v>3954071.0110487542</v>
      </c>
      <c r="F224" s="74"/>
      <c r="G224" s="74"/>
      <c r="H224" s="74"/>
      <c r="I224" s="74"/>
      <c r="J224" s="205">
        <f>+E224</f>
        <v>3954071.0110487542</v>
      </c>
      <c r="K224" s="69"/>
      <c r="L224" s="74"/>
      <c r="N224" s="74"/>
      <c r="O224" s="74"/>
    </row>
    <row r="225" spans="1:15" ht="16.5" thickBot="1">
      <c r="A225" s="76">
        <v>31</v>
      </c>
      <c r="C225" s="67" t="s">
        <v>181</v>
      </c>
      <c r="D225" s="74"/>
      <c r="E225" s="41">
        <f>+E217-E220-E224</f>
        <v>161811402.98343599</v>
      </c>
      <c r="F225" s="74"/>
      <c r="G225" s="74"/>
      <c r="H225" s="74"/>
      <c r="I225" s="74"/>
      <c r="J225" s="41">
        <f>+J217-J220-J224</f>
        <v>32704180.706946615</v>
      </c>
      <c r="K225" s="69"/>
      <c r="L225" s="74"/>
      <c r="N225" s="74"/>
      <c r="O225" s="74"/>
    </row>
    <row r="226" spans="1:15" ht="16.5" thickTop="1">
      <c r="A226" s="76"/>
      <c r="C226" s="123" t="s">
        <v>182</v>
      </c>
      <c r="D226" s="74"/>
      <c r="E226" s="126"/>
      <c r="F226" s="74"/>
      <c r="G226" s="74"/>
      <c r="H226" s="74"/>
      <c r="I226" s="74"/>
      <c r="J226" s="126"/>
      <c r="K226" s="69"/>
      <c r="L226" s="74"/>
      <c r="N226" s="74"/>
      <c r="O226" s="74"/>
    </row>
    <row r="227" spans="1:15">
      <c r="A227" s="76"/>
      <c r="C227" s="67"/>
      <c r="D227" s="74"/>
      <c r="E227" s="126"/>
      <c r="F227" s="74"/>
      <c r="G227" s="74"/>
      <c r="H227" s="74"/>
      <c r="I227" s="74"/>
      <c r="J227" s="126"/>
      <c r="K227" s="69"/>
      <c r="L227" s="74"/>
      <c r="N227" s="74"/>
      <c r="O227" s="74"/>
    </row>
    <row r="228" spans="1:15">
      <c r="A228" s="76"/>
      <c r="C228" s="67"/>
      <c r="D228" s="74"/>
      <c r="E228" s="126"/>
      <c r="F228" s="74"/>
      <c r="G228" s="74"/>
      <c r="H228" s="74"/>
      <c r="I228" s="74"/>
      <c r="J228" s="126"/>
      <c r="K228" s="69"/>
      <c r="L228" s="74"/>
      <c r="N228" s="74"/>
      <c r="O228" s="74"/>
    </row>
    <row r="229" spans="1:15">
      <c r="A229" s="67"/>
      <c r="C229" s="67"/>
      <c r="D229" s="74"/>
      <c r="E229" s="126"/>
      <c r="F229" s="74"/>
      <c r="G229" s="74"/>
      <c r="H229" s="127"/>
      <c r="I229" s="74"/>
      <c r="J229" s="126"/>
      <c r="K229" s="82"/>
      <c r="L229" s="126"/>
      <c r="N229" s="126"/>
      <c r="O229" s="126"/>
    </row>
    <row r="230" spans="1:15">
      <c r="A230" s="67"/>
      <c r="C230" s="111"/>
      <c r="D230" s="74"/>
      <c r="E230" s="126"/>
      <c r="F230" s="74"/>
      <c r="G230" s="74"/>
      <c r="H230" s="127"/>
      <c r="I230" s="74"/>
      <c r="J230" s="126"/>
      <c r="K230" s="74"/>
      <c r="L230" s="74"/>
      <c r="N230" s="74"/>
      <c r="O230" s="74"/>
    </row>
    <row r="231" spans="1:15">
      <c r="A231" s="67"/>
      <c r="C231" s="111"/>
      <c r="D231" s="74"/>
      <c r="E231" s="126"/>
      <c r="F231" s="74"/>
      <c r="G231" s="74"/>
      <c r="H231" s="127"/>
      <c r="I231" s="74"/>
      <c r="J231" s="126"/>
      <c r="K231" s="74"/>
      <c r="L231" s="74"/>
      <c r="N231" s="74"/>
      <c r="O231" s="74"/>
    </row>
    <row r="232" spans="1:15">
      <c r="A232" s="67"/>
      <c r="C232" s="111"/>
      <c r="D232" s="74"/>
      <c r="E232" s="126"/>
      <c r="F232" s="74"/>
      <c r="G232" s="74"/>
      <c r="H232" s="127"/>
      <c r="I232" s="74"/>
      <c r="J232" s="126"/>
      <c r="K232" s="74"/>
      <c r="L232" s="147"/>
    </row>
    <row r="233" spans="1:15">
      <c r="C233" s="67"/>
      <c r="D233" s="67"/>
      <c r="E233" s="68"/>
      <c r="F233" s="67"/>
      <c r="G233" s="67"/>
      <c r="H233" s="67"/>
      <c r="I233" s="69"/>
      <c r="J233" s="76"/>
      <c r="K233" s="76"/>
      <c r="L233" s="71"/>
    </row>
    <row r="234" spans="1:15">
      <c r="C234" s="67"/>
      <c r="D234" s="67"/>
      <c r="E234" s="68"/>
      <c r="F234" s="67"/>
      <c r="G234" s="67"/>
      <c r="H234" s="67"/>
      <c r="I234" s="69"/>
      <c r="J234" s="70"/>
      <c r="K234" s="70"/>
      <c r="L234" s="71"/>
    </row>
    <row r="235" spans="1:15">
      <c r="C235" s="67"/>
      <c r="D235" s="67"/>
      <c r="E235" s="68"/>
      <c r="F235" s="67"/>
      <c r="G235" s="67"/>
      <c r="H235" s="67"/>
      <c r="I235" s="69"/>
      <c r="J235" s="69"/>
      <c r="L235" s="70" t="s">
        <v>0</v>
      </c>
    </row>
    <row r="236" spans="1:15">
      <c r="C236" s="67"/>
      <c r="D236" s="67"/>
      <c r="E236" s="68"/>
      <c r="F236" s="67"/>
      <c r="G236" s="67"/>
      <c r="H236" s="67"/>
      <c r="I236" s="69"/>
      <c r="J236" s="69"/>
      <c r="K236" s="69"/>
      <c r="L236" s="71" t="s">
        <v>183</v>
      </c>
    </row>
    <row r="237" spans="1:15">
      <c r="C237" s="67"/>
      <c r="D237" s="67"/>
      <c r="E237" s="68"/>
      <c r="F237" s="67"/>
      <c r="G237" s="67"/>
      <c r="H237" s="67"/>
      <c r="I237" s="69"/>
      <c r="J237" s="69"/>
      <c r="K237" s="69"/>
      <c r="L237" s="71"/>
    </row>
    <row r="238" spans="1:15">
      <c r="C238" s="67" t="s">
        <v>2</v>
      </c>
      <c r="D238" s="67"/>
      <c r="E238" s="68" t="s">
        <v>3</v>
      </c>
      <c r="F238" s="67"/>
      <c r="G238" s="67"/>
      <c r="H238" s="67"/>
      <c r="I238" s="69"/>
      <c r="J238" s="204" t="str">
        <f>J5</f>
        <v>For the 12 months ended 12/31/16</v>
      </c>
      <c r="K238" s="1"/>
      <c r="L238" s="1"/>
    </row>
    <row r="239" spans="1:15">
      <c r="C239" s="67"/>
      <c r="D239" s="74" t="s">
        <v>4</v>
      </c>
      <c r="E239" s="74" t="s">
        <v>5</v>
      </c>
      <c r="F239" s="74"/>
      <c r="G239" s="74"/>
      <c r="H239" s="74"/>
      <c r="I239" s="69"/>
      <c r="J239" s="69"/>
      <c r="K239" s="69"/>
      <c r="L239" s="2"/>
    </row>
    <row r="240" spans="1:15">
      <c r="A240" s="76"/>
      <c r="K240" s="74"/>
      <c r="L240" s="82"/>
    </row>
    <row r="241" spans="1:20">
      <c r="A241" s="76"/>
      <c r="E241" s="15" t="str">
        <f>E8</f>
        <v>Montana-Dakota Utilities Co.</v>
      </c>
      <c r="F241" s="78"/>
      <c r="G241" s="78"/>
      <c r="K241" s="74"/>
      <c r="L241" s="82"/>
    </row>
    <row r="242" spans="1:20">
      <c r="A242" s="76"/>
      <c r="D242" s="119" t="s">
        <v>184</v>
      </c>
      <c r="F242" s="69"/>
      <c r="G242" s="69"/>
      <c r="H242" s="69"/>
      <c r="I242" s="69"/>
      <c r="J242" s="69"/>
      <c r="K242" s="74"/>
      <c r="L242" s="82"/>
    </row>
    <row r="243" spans="1:20">
      <c r="A243" s="76" t="s">
        <v>6</v>
      </c>
      <c r="C243" s="119"/>
      <c r="D243" s="69"/>
      <c r="E243" s="69"/>
      <c r="F243" s="69"/>
      <c r="G243" s="69"/>
      <c r="H243" s="69"/>
      <c r="I243" s="69"/>
      <c r="J243" s="69"/>
      <c r="K243" s="74"/>
      <c r="L243" s="82"/>
    </row>
    <row r="244" spans="1:20" ht="16.5" thickBot="1">
      <c r="A244" s="80" t="s">
        <v>8</v>
      </c>
      <c r="C244" s="111" t="s">
        <v>185</v>
      </c>
      <c r="D244" s="2"/>
      <c r="E244" s="2"/>
      <c r="F244" s="2"/>
      <c r="G244" s="2"/>
      <c r="H244" s="2"/>
      <c r="I244" s="110"/>
      <c r="J244" s="110"/>
      <c r="K244" s="82"/>
      <c r="L244" s="82"/>
    </row>
    <row r="245" spans="1:20">
      <c r="A245" s="76"/>
      <c r="C245" s="111"/>
      <c r="D245" s="2"/>
      <c r="E245" s="2"/>
      <c r="F245" s="2"/>
      <c r="G245" s="2"/>
      <c r="H245" s="2"/>
      <c r="I245" s="2"/>
      <c r="J245" s="2"/>
      <c r="K245" s="82"/>
      <c r="L245" s="82"/>
    </row>
    <row r="246" spans="1:20">
      <c r="A246" s="76">
        <v>1</v>
      </c>
      <c r="C246" s="2" t="s">
        <v>186</v>
      </c>
      <c r="D246" s="2"/>
      <c r="E246" s="82"/>
      <c r="F246" s="82"/>
      <c r="G246" s="82"/>
      <c r="H246" s="82"/>
      <c r="I246" s="82"/>
      <c r="J246" s="11">
        <f>E93</f>
        <v>264777125</v>
      </c>
      <c r="K246" s="82"/>
      <c r="L246" s="82"/>
    </row>
    <row r="247" spans="1:20">
      <c r="A247" s="76">
        <v>2</v>
      </c>
      <c r="C247" s="2" t="s">
        <v>187</v>
      </c>
      <c r="D247" s="110"/>
      <c r="E247" s="110"/>
      <c r="F247" s="110"/>
      <c r="G247" s="110"/>
      <c r="H247" s="110"/>
      <c r="I247" s="110"/>
      <c r="J247" s="50">
        <v>0</v>
      </c>
      <c r="K247" s="82"/>
      <c r="L247" s="82"/>
    </row>
    <row r="248" spans="1:20" ht="16.5" thickBot="1">
      <c r="A248" s="76">
        <v>3</v>
      </c>
      <c r="C248" s="149" t="s">
        <v>188</v>
      </c>
      <c r="D248" s="149"/>
      <c r="E248" s="150"/>
      <c r="F248" s="82"/>
      <c r="G248" s="82"/>
      <c r="H248" s="151"/>
      <c r="I248" s="82"/>
      <c r="J248" s="56">
        <v>17702443</v>
      </c>
      <c r="K248" s="82"/>
      <c r="L248" s="82"/>
    </row>
    <row r="249" spans="1:20">
      <c r="A249" s="76">
        <v>4</v>
      </c>
      <c r="C249" s="2" t="s">
        <v>189</v>
      </c>
      <c r="D249" s="2"/>
      <c r="E249" s="82"/>
      <c r="F249" s="82"/>
      <c r="G249" s="82"/>
      <c r="H249" s="151"/>
      <c r="I249" s="82"/>
      <c r="J249" s="11">
        <f>J246-J247-J248</f>
        <v>247074682</v>
      </c>
      <c r="K249" s="82"/>
      <c r="L249" s="82"/>
    </row>
    <row r="250" spans="1:20">
      <c r="A250" s="76"/>
      <c r="C250" s="110"/>
      <c r="D250" s="2"/>
      <c r="E250" s="82"/>
      <c r="F250" s="82"/>
      <c r="G250" s="82"/>
      <c r="H250" s="151"/>
      <c r="I250" s="82"/>
      <c r="J250" s="110"/>
      <c r="K250" s="82"/>
      <c r="L250" s="82"/>
      <c r="N250" s="152"/>
      <c r="O250" s="152"/>
      <c r="P250" s="152"/>
      <c r="Q250" s="152"/>
      <c r="R250" s="152"/>
      <c r="S250" s="152"/>
      <c r="T250" s="152"/>
    </row>
    <row r="251" spans="1:20">
      <c r="A251" s="76">
        <v>5</v>
      </c>
      <c r="C251" s="2" t="s">
        <v>190</v>
      </c>
      <c r="D251" s="153"/>
      <c r="E251" s="154"/>
      <c r="F251" s="154"/>
      <c r="G251" s="154"/>
      <c r="H251" s="155"/>
      <c r="I251" s="82" t="s">
        <v>191</v>
      </c>
      <c r="J251" s="30">
        <f>IF(J246&gt;0,J249/J246,0)</f>
        <v>0.93314209828360362</v>
      </c>
      <c r="K251" s="82"/>
      <c r="L251" s="82"/>
      <c r="N251" s="152"/>
      <c r="O251" s="152"/>
      <c r="P251" s="152"/>
      <c r="Q251" s="152"/>
      <c r="R251" s="152"/>
      <c r="S251" s="152"/>
      <c r="T251" s="152"/>
    </row>
    <row r="252" spans="1:20">
      <c r="A252" s="76"/>
      <c r="C252" s="110"/>
      <c r="D252" s="110"/>
      <c r="E252" s="110"/>
      <c r="F252" s="110"/>
      <c r="G252" s="110"/>
      <c r="H252" s="110"/>
      <c r="I252" s="110"/>
      <c r="J252" s="110"/>
      <c r="K252" s="82"/>
      <c r="L252" s="82"/>
      <c r="N252" s="156"/>
      <c r="O252" s="156"/>
      <c r="P252" s="156"/>
      <c r="Q252" s="152"/>
      <c r="R252" s="152"/>
      <c r="S252" s="152"/>
      <c r="T252" s="152"/>
    </row>
    <row r="253" spans="1:20">
      <c r="A253" s="76"/>
      <c r="C253" s="111" t="s">
        <v>192</v>
      </c>
      <c r="D253" s="110"/>
      <c r="E253" s="110"/>
      <c r="F253" s="110"/>
      <c r="G253" s="110"/>
      <c r="H253" s="110"/>
      <c r="I253" s="110"/>
      <c r="J253" s="110"/>
      <c r="K253" s="82"/>
      <c r="L253" s="82"/>
      <c r="N253" s="157"/>
      <c r="O253" s="158"/>
      <c r="P253" s="159"/>
      <c r="Q253" s="157"/>
      <c r="R253" s="158"/>
      <c r="S253" s="158"/>
      <c r="T253" s="152"/>
    </row>
    <row r="254" spans="1:20">
      <c r="A254" s="76"/>
      <c r="C254" s="110"/>
      <c r="D254" s="110"/>
      <c r="E254" s="110"/>
      <c r="F254" s="110"/>
      <c r="G254" s="110"/>
      <c r="H254" s="110"/>
      <c r="I254" s="110"/>
      <c r="J254" s="110"/>
      <c r="K254" s="82"/>
      <c r="L254" s="82"/>
      <c r="N254" s="238"/>
      <c r="O254" s="239"/>
      <c r="P254" s="239"/>
      <c r="Q254" s="239"/>
      <c r="R254" s="239"/>
      <c r="S254" s="239"/>
      <c r="T254" s="152"/>
    </row>
    <row r="255" spans="1:20">
      <c r="A255" s="76">
        <v>6</v>
      </c>
      <c r="C255" s="110" t="s">
        <v>193</v>
      </c>
      <c r="D255" s="110"/>
      <c r="E255" s="2"/>
      <c r="F255" s="2"/>
      <c r="G255" s="2"/>
      <c r="H255" s="109"/>
      <c r="I255" s="2"/>
      <c r="J255" s="11">
        <f>E172</f>
        <v>33897629</v>
      </c>
      <c r="K255" s="82"/>
      <c r="L255" s="82"/>
      <c r="N255" s="160"/>
      <c r="O255" s="161"/>
      <c r="P255" s="162"/>
      <c r="Q255" s="163"/>
      <c r="R255" s="161"/>
      <c r="S255" s="161"/>
      <c r="T255" s="152"/>
    </row>
    <row r="256" spans="1:20" ht="16.5" thickBot="1">
      <c r="A256" s="76">
        <v>7</v>
      </c>
      <c r="C256" s="149" t="s">
        <v>194</v>
      </c>
      <c r="D256" s="149"/>
      <c r="E256" s="150"/>
      <c r="F256" s="150"/>
      <c r="G256" s="82"/>
      <c r="H256" s="82"/>
      <c r="I256" s="82"/>
      <c r="J256" s="56">
        <v>1358211</v>
      </c>
      <c r="K256" s="82"/>
      <c r="L256" s="82"/>
      <c r="M256" s="2"/>
      <c r="N256" s="164"/>
      <c r="O256" s="165"/>
      <c r="P256" s="162"/>
      <c r="Q256" s="163"/>
      <c r="R256" s="161"/>
      <c r="S256" s="161"/>
      <c r="T256" s="152"/>
    </row>
    <row r="257" spans="1:20">
      <c r="A257" s="76">
        <v>8</v>
      </c>
      <c r="C257" s="2" t="s">
        <v>195</v>
      </c>
      <c r="D257" s="153"/>
      <c r="E257" s="154"/>
      <c r="F257" s="154"/>
      <c r="G257" s="154"/>
      <c r="H257" s="155"/>
      <c r="I257" s="154"/>
      <c r="J257" s="11">
        <f>+J255-J256</f>
        <v>32539418</v>
      </c>
      <c r="K257" s="110"/>
      <c r="N257" s="166"/>
      <c r="O257" s="167"/>
      <c r="P257" s="168"/>
      <c r="Q257" s="168"/>
      <c r="R257" s="160"/>
      <c r="S257" s="160"/>
      <c r="T257" s="152"/>
    </row>
    <row r="258" spans="1:20">
      <c r="A258" s="76"/>
      <c r="C258" s="2"/>
      <c r="D258" s="2"/>
      <c r="E258" s="82"/>
      <c r="F258" s="82"/>
      <c r="G258" s="82"/>
      <c r="H258" s="82"/>
      <c r="I258" s="110"/>
      <c r="J258" s="110"/>
      <c r="K258" s="110"/>
      <c r="N258" s="164"/>
      <c r="O258" s="167"/>
      <c r="P258" s="160"/>
      <c r="Q258" s="160"/>
      <c r="R258" s="160"/>
      <c r="S258" s="160"/>
      <c r="T258" s="152"/>
    </row>
    <row r="259" spans="1:20">
      <c r="A259" s="76">
        <v>9</v>
      </c>
      <c r="C259" s="2" t="s">
        <v>196</v>
      </c>
      <c r="D259" s="2"/>
      <c r="E259" s="82"/>
      <c r="F259" s="82"/>
      <c r="G259" s="82"/>
      <c r="H259" s="82"/>
      <c r="I259" s="82"/>
      <c r="J259" s="35">
        <f>IF(J255&gt;0,J257/J255,0)</f>
        <v>0.95993197636330263</v>
      </c>
      <c r="K259" s="110"/>
      <c r="N259" s="163"/>
      <c r="O259" s="169"/>
      <c r="P259" s="170"/>
      <c r="Q259" s="170"/>
      <c r="R259" s="161"/>
      <c r="S259" s="161"/>
      <c r="T259" s="152"/>
    </row>
    <row r="260" spans="1:20">
      <c r="A260" s="76">
        <v>10</v>
      </c>
      <c r="C260" s="2" t="s">
        <v>197</v>
      </c>
      <c r="D260" s="2"/>
      <c r="E260" s="82"/>
      <c r="F260" s="82"/>
      <c r="G260" s="82"/>
      <c r="H260" s="82"/>
      <c r="I260" s="2" t="s">
        <v>17</v>
      </c>
      <c r="J260" s="42">
        <f>J251</f>
        <v>0.93314209828360362</v>
      </c>
      <c r="K260" s="110"/>
      <c r="N260" s="164"/>
      <c r="O260" s="170"/>
      <c r="P260" s="160"/>
      <c r="Q260" s="170"/>
      <c r="R260" s="161"/>
      <c r="S260" s="161"/>
      <c r="T260" s="152"/>
    </row>
    <row r="261" spans="1:20">
      <c r="A261" s="76">
        <v>11</v>
      </c>
      <c r="C261" s="2" t="s">
        <v>198</v>
      </c>
      <c r="D261" s="2"/>
      <c r="E261" s="2"/>
      <c r="F261" s="2"/>
      <c r="G261" s="2"/>
      <c r="H261" s="2"/>
      <c r="I261" s="2" t="s">
        <v>199</v>
      </c>
      <c r="J261" s="43">
        <f>+J260*J259</f>
        <v>0.89575293863317884</v>
      </c>
      <c r="K261" s="110"/>
      <c r="N261" s="166"/>
      <c r="O261" s="170"/>
      <c r="P261" s="160"/>
      <c r="Q261" s="170"/>
      <c r="R261" s="161"/>
      <c r="S261" s="161"/>
      <c r="T261" s="152"/>
    </row>
    <row r="262" spans="1:20">
      <c r="A262" s="76"/>
      <c r="D262" s="69"/>
      <c r="E262" s="74"/>
      <c r="F262" s="74"/>
      <c r="G262" s="74"/>
      <c r="H262" s="171"/>
      <c r="I262" s="74"/>
      <c r="N262" s="166"/>
      <c r="O262" s="170"/>
      <c r="P262" s="160"/>
      <c r="Q262" s="172"/>
      <c r="R262" s="161"/>
      <c r="S262" s="161"/>
      <c r="T262" s="152"/>
    </row>
    <row r="263" spans="1:20">
      <c r="A263" s="76" t="s">
        <v>4</v>
      </c>
      <c r="C263" s="67" t="s">
        <v>200</v>
      </c>
      <c r="D263" s="74"/>
      <c r="E263" s="74"/>
      <c r="F263" s="74"/>
      <c r="G263" s="74"/>
      <c r="H263" s="74"/>
      <c r="I263" s="74"/>
      <c r="J263" s="74"/>
      <c r="K263" s="74"/>
      <c r="L263" s="82"/>
      <c r="N263" s="164"/>
      <c r="O263" s="167"/>
      <c r="P263" s="162"/>
      <c r="Q263" s="163"/>
      <c r="R263" s="161"/>
      <c r="S263" s="161"/>
      <c r="T263" s="152"/>
    </row>
    <row r="264" spans="1:20" ht="16.5" thickBot="1">
      <c r="A264" s="76" t="s">
        <v>4</v>
      </c>
      <c r="C264" s="67"/>
      <c r="D264" s="86" t="s">
        <v>201</v>
      </c>
      <c r="E264" s="173" t="s">
        <v>202</v>
      </c>
      <c r="F264" s="173" t="s">
        <v>17</v>
      </c>
      <c r="G264" s="74"/>
      <c r="H264" s="173" t="s">
        <v>203</v>
      </c>
      <c r="I264" s="74"/>
      <c r="J264" s="74"/>
      <c r="K264" s="74"/>
      <c r="L264" s="82"/>
      <c r="N264" s="164"/>
      <c r="O264" s="167"/>
      <c r="P264" s="162"/>
      <c r="Q264" s="163"/>
      <c r="R264" s="161"/>
      <c r="S264" s="161"/>
      <c r="T264" s="152"/>
    </row>
    <row r="265" spans="1:20">
      <c r="A265" s="76">
        <v>12</v>
      </c>
      <c r="C265" s="67" t="s">
        <v>79</v>
      </c>
      <c r="D265" s="74" t="s">
        <v>204</v>
      </c>
      <c r="E265" s="50">
        <v>9806468</v>
      </c>
      <c r="F265" s="174">
        <v>0</v>
      </c>
      <c r="G265" s="174"/>
      <c r="H265" s="8">
        <f>E265*F265</f>
        <v>0</v>
      </c>
      <c r="I265" s="74"/>
      <c r="J265" s="74"/>
      <c r="K265" s="74"/>
      <c r="L265" s="82"/>
      <c r="N265" s="152"/>
      <c r="O265" s="152"/>
      <c r="P265" s="152"/>
      <c r="Q265" s="152"/>
      <c r="R265" s="152"/>
      <c r="S265" s="152"/>
      <c r="T265" s="152"/>
    </row>
    <row r="266" spans="1:20">
      <c r="A266" s="76">
        <v>13</v>
      </c>
      <c r="C266" s="67" t="s">
        <v>82</v>
      </c>
      <c r="D266" s="74" t="s">
        <v>205</v>
      </c>
      <c r="E266" s="50">
        <v>3758883</v>
      </c>
      <c r="F266" s="44">
        <f>+J251</f>
        <v>0.93314209828360362</v>
      </c>
      <c r="G266" s="174"/>
      <c r="H266" s="8">
        <f>E266*F266</f>
        <v>3507571.969822567</v>
      </c>
      <c r="I266" s="74"/>
      <c r="J266" s="74"/>
      <c r="K266" s="74"/>
      <c r="L266" s="82"/>
      <c r="N266" s="152"/>
      <c r="O266" s="152"/>
      <c r="P266" s="152"/>
      <c r="Q266" s="152"/>
      <c r="R266" s="152"/>
      <c r="S266" s="152"/>
      <c r="T266" s="152"/>
    </row>
    <row r="267" spans="1:20">
      <c r="A267" s="76">
        <v>14</v>
      </c>
      <c r="C267" s="67" t="s">
        <v>84</v>
      </c>
      <c r="D267" s="74" t="s">
        <v>206</v>
      </c>
      <c r="E267" s="50">
        <v>8317294</v>
      </c>
      <c r="F267" s="174">
        <v>0</v>
      </c>
      <c r="G267" s="174"/>
      <c r="H267" s="8">
        <f>E267*F267</f>
        <v>0</v>
      </c>
      <c r="I267" s="74"/>
      <c r="J267" s="175" t="s">
        <v>207</v>
      </c>
      <c r="K267" s="74"/>
      <c r="L267" s="82"/>
      <c r="N267" s="152"/>
      <c r="O267" s="152"/>
      <c r="P267" s="152"/>
      <c r="Q267" s="152"/>
      <c r="R267" s="152"/>
      <c r="S267" s="152"/>
      <c r="T267" s="152"/>
    </row>
    <row r="268" spans="1:20" ht="16.5" thickBot="1">
      <c r="A268" s="76">
        <v>15</v>
      </c>
      <c r="C268" s="67" t="s">
        <v>208</v>
      </c>
      <c r="D268" s="74" t="s">
        <v>209</v>
      </c>
      <c r="E268" s="56">
        <v>2382873</v>
      </c>
      <c r="F268" s="174">
        <v>0</v>
      </c>
      <c r="G268" s="174"/>
      <c r="H268" s="19">
        <f>E268*F268</f>
        <v>0</v>
      </c>
      <c r="I268" s="74"/>
      <c r="J268" s="80" t="s">
        <v>210</v>
      </c>
      <c r="K268" s="74"/>
      <c r="L268" s="82"/>
      <c r="N268" s="152"/>
      <c r="O268" s="152"/>
      <c r="P268" s="152"/>
      <c r="Q268" s="152"/>
      <c r="R268" s="152"/>
      <c r="S268" s="152"/>
      <c r="T268" s="152"/>
    </row>
    <row r="269" spans="1:20">
      <c r="A269" s="76">
        <v>16</v>
      </c>
      <c r="C269" s="67" t="s">
        <v>211</v>
      </c>
      <c r="D269" s="74"/>
      <c r="E269" s="8">
        <f>SUM(E265:E268)</f>
        <v>24265518</v>
      </c>
      <c r="F269" s="74"/>
      <c r="G269" s="74"/>
      <c r="H269" s="8">
        <f>SUM(H265:H268)</f>
        <v>3507571.969822567</v>
      </c>
      <c r="I269" s="76" t="s">
        <v>212</v>
      </c>
      <c r="J269" s="27">
        <f>IF(H269&gt;0,H269/E269,0)</f>
        <v>0.14454964323541608</v>
      </c>
      <c r="K269" s="171" t="s">
        <v>212</v>
      </c>
      <c r="L269" s="82" t="s">
        <v>213</v>
      </c>
    </row>
    <row r="270" spans="1:20">
      <c r="A270" s="76"/>
      <c r="C270" s="67"/>
      <c r="D270" s="74"/>
      <c r="E270" s="74"/>
      <c r="F270" s="74"/>
      <c r="G270" s="74"/>
      <c r="H270" s="74"/>
      <c r="I270" s="74"/>
      <c r="J270" s="74"/>
      <c r="K270" s="74"/>
      <c r="L270" s="82"/>
    </row>
    <row r="271" spans="1:20">
      <c r="A271" s="76"/>
      <c r="C271" s="67" t="s">
        <v>214</v>
      </c>
      <c r="D271" s="74"/>
      <c r="E271" s="74"/>
      <c r="F271" s="74"/>
      <c r="G271" s="74"/>
      <c r="H271" s="74"/>
      <c r="I271" s="74"/>
      <c r="J271" s="74"/>
      <c r="K271" s="74"/>
      <c r="L271" s="82"/>
    </row>
    <row r="272" spans="1:20">
      <c r="A272" s="76"/>
      <c r="C272" s="67"/>
      <c r="D272" s="74"/>
      <c r="E272" s="115" t="s">
        <v>202</v>
      </c>
      <c r="F272" s="74"/>
      <c r="G272" s="74"/>
      <c r="H272" s="171" t="s">
        <v>215</v>
      </c>
      <c r="I272" s="143" t="s">
        <v>4</v>
      </c>
      <c r="J272" s="29" t="str">
        <f>+J267</f>
        <v>W&amp;S Allocator</v>
      </c>
    </row>
    <row r="273" spans="1:19">
      <c r="A273" s="76">
        <v>17</v>
      </c>
      <c r="C273" s="67" t="s">
        <v>216</v>
      </c>
      <c r="D273" s="74" t="s">
        <v>217</v>
      </c>
      <c r="E273" s="50">
        <v>1174911504</v>
      </c>
      <c r="F273" s="74"/>
      <c r="H273" s="76" t="s">
        <v>218</v>
      </c>
      <c r="I273" s="143"/>
      <c r="J273" s="76" t="s">
        <v>219</v>
      </c>
      <c r="K273" s="74"/>
      <c r="L273" s="109" t="s">
        <v>91</v>
      </c>
    </row>
    <row r="274" spans="1:19">
      <c r="A274" s="76">
        <v>18</v>
      </c>
      <c r="C274" s="67" t="s">
        <v>220</v>
      </c>
      <c r="D274" s="74" t="s">
        <v>221</v>
      </c>
      <c r="E274" s="50">
        <v>498888558</v>
      </c>
      <c r="F274" s="74"/>
      <c r="H274" s="18">
        <f>IF(E276&gt;0,E273/E276,0)</f>
        <v>0.70194256212185513</v>
      </c>
      <c r="I274" s="171" t="s">
        <v>222</v>
      </c>
      <c r="J274" s="18">
        <f>J269</f>
        <v>0.14454964323541608</v>
      </c>
      <c r="K274" s="143" t="s">
        <v>212</v>
      </c>
      <c r="L274" s="45">
        <f>J274*H274</f>
        <v>0.10146554692646804</v>
      </c>
    </row>
    <row r="275" spans="1:19" ht="16.5" thickBot="1">
      <c r="A275" s="76">
        <v>19</v>
      </c>
      <c r="C275" s="176" t="s">
        <v>223</v>
      </c>
      <c r="D275" s="86" t="s">
        <v>224</v>
      </c>
      <c r="E275" s="56">
        <v>0</v>
      </c>
      <c r="F275" s="74"/>
      <c r="G275" s="74"/>
      <c r="H275" s="74" t="s">
        <v>4</v>
      </c>
      <c r="I275" s="74"/>
      <c r="J275" s="74"/>
      <c r="K275" s="74"/>
      <c r="L275" s="82"/>
    </row>
    <row r="276" spans="1:19">
      <c r="A276" s="76">
        <v>20</v>
      </c>
      <c r="C276" s="67" t="s">
        <v>225</v>
      </c>
      <c r="D276" s="74"/>
      <c r="E276" s="8">
        <f>E273+E274+E275</f>
        <v>1673800062</v>
      </c>
      <c r="F276" s="74"/>
      <c r="G276" s="74"/>
      <c r="H276" s="74"/>
      <c r="I276" s="74"/>
      <c r="J276" s="74"/>
      <c r="K276" s="74"/>
      <c r="L276" s="82"/>
    </row>
    <row r="277" spans="1:19">
      <c r="A277" s="76"/>
      <c r="C277" s="67"/>
      <c r="D277" s="74"/>
      <c r="F277" s="74"/>
      <c r="G277" s="74"/>
      <c r="H277" s="74"/>
      <c r="I277" s="74"/>
      <c r="J277" s="74"/>
      <c r="K277" s="74"/>
      <c r="L277" s="82"/>
    </row>
    <row r="278" spans="1:19" ht="16.5" thickBot="1">
      <c r="A278" s="76"/>
      <c r="B278" s="69"/>
      <c r="C278" s="67" t="s">
        <v>395</v>
      </c>
      <c r="D278" s="74"/>
      <c r="E278" s="74"/>
      <c r="F278" s="74"/>
      <c r="G278" s="74"/>
      <c r="H278" s="74"/>
      <c r="I278" s="74"/>
      <c r="J278" s="173" t="s">
        <v>202</v>
      </c>
      <c r="K278" s="74"/>
      <c r="L278" s="82"/>
      <c r="N278" s="177"/>
      <c r="O278" s="73"/>
      <c r="P278" s="178"/>
      <c r="Q278" s="177"/>
      <c r="R278" s="73"/>
      <c r="S278" s="73"/>
    </row>
    <row r="279" spans="1:19">
      <c r="A279" s="76">
        <v>21</v>
      </c>
      <c r="B279" s="69"/>
      <c r="C279" s="69"/>
      <c r="D279" s="74" t="s">
        <v>365</v>
      </c>
      <c r="E279" s="74"/>
      <c r="F279" s="74"/>
      <c r="G279" s="74"/>
      <c r="H279" s="74"/>
      <c r="I279" s="74"/>
      <c r="J279" s="62">
        <v>30559947</v>
      </c>
      <c r="K279" s="74"/>
      <c r="L279" s="82"/>
      <c r="N279" s="177"/>
      <c r="O279" s="73"/>
      <c r="P279" s="178"/>
      <c r="Q279" s="177"/>
      <c r="R279" s="73"/>
      <c r="S279" s="73"/>
    </row>
    <row r="280" spans="1:19">
      <c r="A280" s="76"/>
      <c r="C280" s="67"/>
      <c r="D280" s="74"/>
      <c r="E280" s="74"/>
      <c r="F280" s="74"/>
      <c r="G280" s="74"/>
      <c r="H280" s="74"/>
      <c r="I280" s="74"/>
      <c r="J280" s="74"/>
      <c r="K280" s="74"/>
      <c r="L280" s="82"/>
    </row>
    <row r="281" spans="1:19">
      <c r="A281" s="76">
        <v>22</v>
      </c>
      <c r="B281" s="69"/>
      <c r="C281" s="67"/>
      <c r="D281" s="74" t="s">
        <v>226</v>
      </c>
      <c r="E281" s="74"/>
      <c r="F281" s="74"/>
      <c r="G281" s="74"/>
      <c r="H281" s="74"/>
      <c r="I281" s="82"/>
      <c r="J281" s="63">
        <v>685003</v>
      </c>
      <c r="K281" s="74"/>
      <c r="L281" s="82"/>
    </row>
    <row r="282" spans="1:19">
      <c r="A282" s="76"/>
      <c r="B282" s="69"/>
      <c r="C282" s="67"/>
      <c r="D282" s="74"/>
      <c r="E282" s="74"/>
      <c r="F282" s="74"/>
      <c r="G282" s="74"/>
      <c r="H282" s="74"/>
      <c r="I282" s="74"/>
      <c r="J282" s="74"/>
      <c r="K282" s="74"/>
      <c r="L282" s="82"/>
    </row>
    <row r="283" spans="1:19">
      <c r="A283" s="76"/>
      <c r="B283" s="69"/>
      <c r="C283" s="67" t="s">
        <v>227</v>
      </c>
      <c r="D283" s="74"/>
      <c r="E283" s="74"/>
      <c r="F283" s="74"/>
      <c r="G283" s="74"/>
      <c r="H283" s="74"/>
      <c r="I283" s="74"/>
      <c r="J283" s="74"/>
      <c r="K283" s="74"/>
      <c r="L283" s="82"/>
    </row>
    <row r="284" spans="1:19">
      <c r="A284" s="76">
        <v>23</v>
      </c>
      <c r="B284" s="69"/>
      <c r="C284" s="67"/>
      <c r="D284" s="74" t="s">
        <v>380</v>
      </c>
      <c r="E284" s="69"/>
      <c r="F284" s="74"/>
      <c r="G284" s="74"/>
      <c r="H284" s="74"/>
      <c r="I284" s="74"/>
      <c r="J284" s="50">
        <v>2326097538</v>
      </c>
      <c r="K284" s="74"/>
      <c r="L284" s="82"/>
    </row>
    <row r="285" spans="1:19">
      <c r="A285" s="76">
        <v>24</v>
      </c>
      <c r="B285" s="69"/>
      <c r="C285" s="67"/>
      <c r="D285" s="74" t="s">
        <v>381</v>
      </c>
      <c r="E285" s="74"/>
      <c r="F285" s="74"/>
      <c r="G285" s="74"/>
      <c r="H285" s="74"/>
      <c r="I285" s="74"/>
      <c r="J285" s="11">
        <f>-E291</f>
        <v>-15000000</v>
      </c>
      <c r="K285" s="74"/>
      <c r="L285" s="82"/>
    </row>
    <row r="286" spans="1:19" ht="16.5" thickBot="1">
      <c r="A286" s="76">
        <v>25</v>
      </c>
      <c r="B286" s="69"/>
      <c r="C286" s="67"/>
      <c r="D286" s="74" t="s">
        <v>374</v>
      </c>
      <c r="E286" s="74"/>
      <c r="F286" s="74"/>
      <c r="G286" s="74"/>
      <c r="H286" s="74"/>
      <c r="I286" s="74"/>
      <c r="J286" s="56">
        <v>-1640734392</v>
      </c>
      <c r="K286" s="74"/>
      <c r="L286" s="82"/>
    </row>
    <row r="287" spans="1:19">
      <c r="A287" s="76">
        <v>26</v>
      </c>
      <c r="B287" s="69"/>
      <c r="C287" s="69"/>
      <c r="D287" s="74" t="s">
        <v>228</v>
      </c>
      <c r="E287" s="69" t="s">
        <v>375</v>
      </c>
      <c r="F287" s="69"/>
      <c r="G287" s="69"/>
      <c r="H287" s="69"/>
      <c r="I287" s="69"/>
      <c r="J287" s="8">
        <f>+J284+J285+J286</f>
        <v>670363146</v>
      </c>
      <c r="K287" s="74"/>
      <c r="L287" s="82"/>
    </row>
    <row r="288" spans="1:19">
      <c r="A288" s="76"/>
      <c r="C288" s="67"/>
      <c r="D288" s="74"/>
      <c r="E288" s="74"/>
      <c r="F288" s="74"/>
      <c r="G288" s="74"/>
      <c r="H288" s="171" t="s">
        <v>229</v>
      </c>
      <c r="I288" s="74"/>
      <c r="J288" s="74"/>
      <c r="K288" s="74"/>
      <c r="L288" s="82"/>
    </row>
    <row r="289" spans="1:16" ht="16.5" thickBot="1">
      <c r="A289" s="76"/>
      <c r="C289" s="67"/>
      <c r="D289" s="74"/>
      <c r="E289" s="80" t="s">
        <v>202</v>
      </c>
      <c r="F289" s="80" t="s">
        <v>230</v>
      </c>
      <c r="G289" s="74"/>
      <c r="H289" s="80" t="s">
        <v>231</v>
      </c>
      <c r="I289" s="74"/>
      <c r="J289" s="80" t="s">
        <v>232</v>
      </c>
      <c r="K289" s="74"/>
      <c r="L289" s="82"/>
    </row>
    <row r="290" spans="1:16">
      <c r="A290" s="76">
        <v>27</v>
      </c>
      <c r="C290" s="67" t="s">
        <v>376</v>
      </c>
      <c r="E290" s="50">
        <v>652490574</v>
      </c>
      <c r="F290" s="46">
        <f>IF($E$293&gt;0,E290/$E$293,0)</f>
        <v>0.48771443712097312</v>
      </c>
      <c r="G290" s="179"/>
      <c r="H290" s="47">
        <f>IF(E290&gt;0,J279/E290,0)</f>
        <v>4.683584440562355E-2</v>
      </c>
      <c r="J290" s="47">
        <f>H290*F290</f>
        <v>2.2842517491374167E-2</v>
      </c>
      <c r="K290" s="180" t="s">
        <v>233</v>
      </c>
    </row>
    <row r="291" spans="1:16">
      <c r="A291" s="76">
        <v>28</v>
      </c>
      <c r="C291" s="67" t="s">
        <v>377</v>
      </c>
      <c r="E291" s="50">
        <v>15000000</v>
      </c>
      <c r="F291" s="46">
        <f>IF($E$293&gt;0,E291/$E$293,0)</f>
        <v>1.12119881088345E-2</v>
      </c>
      <c r="G291" s="179"/>
      <c r="H291" s="47">
        <f>IF(E291&gt;0,J281/E291,0)</f>
        <v>4.5666866666666667E-2</v>
      </c>
      <c r="J291" s="47">
        <f>H291*F291</f>
        <v>5.1201636603439725E-4</v>
      </c>
      <c r="K291" s="74"/>
    </row>
    <row r="292" spans="1:16" ht="16.5" thickBot="1">
      <c r="A292" s="76">
        <v>29</v>
      </c>
      <c r="C292" s="67" t="s">
        <v>378</v>
      </c>
      <c r="E292" s="19">
        <f>J287</f>
        <v>670363146</v>
      </c>
      <c r="F292" s="46">
        <f>IF($E$293&gt;0,E292/$E$293,0)</f>
        <v>0.50107357477019232</v>
      </c>
      <c r="G292" s="179"/>
      <c r="H292" s="64">
        <v>0.12379999999999999</v>
      </c>
      <c r="J292" s="48">
        <f>H292*F292</f>
        <v>6.2032908556549804E-2</v>
      </c>
      <c r="K292" s="74"/>
    </row>
    <row r="293" spans="1:16">
      <c r="A293" s="76">
        <v>30</v>
      </c>
      <c r="C293" s="67" t="s">
        <v>379</v>
      </c>
      <c r="E293" s="8">
        <f>E292+E291+E290</f>
        <v>1337853720</v>
      </c>
      <c r="F293" s="74" t="s">
        <v>4</v>
      </c>
      <c r="G293" s="74"/>
      <c r="H293" s="74"/>
      <c r="I293" s="74"/>
      <c r="J293" s="47">
        <f>SUM(J290:J292)</f>
        <v>8.5387442413958375E-2</v>
      </c>
      <c r="K293" s="180" t="s">
        <v>234</v>
      </c>
    </row>
    <row r="294" spans="1:16">
      <c r="F294" s="74"/>
      <c r="G294" s="74"/>
      <c r="H294" s="74"/>
      <c r="I294" s="74"/>
    </row>
    <row r="295" spans="1:16">
      <c r="A295" s="76"/>
      <c r="L295" s="82"/>
    </row>
    <row r="296" spans="1:16">
      <c r="A296" s="76"/>
      <c r="C296" s="67" t="s">
        <v>235</v>
      </c>
      <c r="D296" s="69"/>
      <c r="E296" s="69"/>
      <c r="F296" s="69"/>
      <c r="G296" s="69"/>
      <c r="H296" s="69"/>
      <c r="I296" s="69"/>
      <c r="J296" s="69"/>
      <c r="K296" s="69"/>
      <c r="L296" s="2"/>
    </row>
    <row r="297" spans="1:16" ht="16.5" thickBot="1">
      <c r="A297" s="76"/>
      <c r="C297" s="67"/>
      <c r="D297" s="67"/>
      <c r="E297" s="67"/>
      <c r="F297" s="67"/>
      <c r="G297" s="67"/>
      <c r="H297" s="67"/>
      <c r="I297" s="67"/>
      <c r="J297" s="80" t="s">
        <v>236</v>
      </c>
      <c r="K297" s="181"/>
    </row>
    <row r="298" spans="1:16">
      <c r="A298" s="76"/>
      <c r="C298" s="67" t="s">
        <v>237</v>
      </c>
      <c r="D298" s="69"/>
      <c r="E298" s="69" t="s">
        <v>238</v>
      </c>
      <c r="F298" s="69" t="s">
        <v>239</v>
      </c>
      <c r="G298" s="69"/>
      <c r="H298" s="182" t="s">
        <v>4</v>
      </c>
      <c r="I298" s="183"/>
      <c r="J298" s="110"/>
      <c r="K298" s="110"/>
    </row>
    <row r="299" spans="1:16">
      <c r="A299" s="76">
        <v>31</v>
      </c>
      <c r="C299" s="66" t="s">
        <v>240</v>
      </c>
      <c r="D299" s="69"/>
      <c r="E299" s="69"/>
      <c r="G299" s="69"/>
      <c r="I299" s="183"/>
      <c r="J299" s="4">
        <v>0</v>
      </c>
      <c r="K299" s="184"/>
    </row>
    <row r="300" spans="1:16" ht="16.5" thickBot="1">
      <c r="A300" s="76">
        <v>32</v>
      </c>
      <c r="C300" s="131" t="s">
        <v>241</v>
      </c>
      <c r="D300" s="185"/>
      <c r="E300" s="131"/>
      <c r="F300" s="185"/>
      <c r="G300" s="185"/>
      <c r="H300" s="185"/>
      <c r="I300" s="69"/>
      <c r="J300" s="5">
        <v>0</v>
      </c>
      <c r="K300" s="184"/>
    </row>
    <row r="301" spans="1:16">
      <c r="A301" s="76">
        <v>33</v>
      </c>
      <c r="C301" s="66" t="s">
        <v>242</v>
      </c>
      <c r="D301" s="69"/>
      <c r="F301" s="69"/>
      <c r="G301" s="69"/>
      <c r="H301" s="69"/>
      <c r="I301" s="69"/>
      <c r="J301" s="6">
        <f>+J299-J300</f>
        <v>0</v>
      </c>
      <c r="K301" s="184"/>
      <c r="N301" s="100"/>
      <c r="O301" s="100"/>
    </row>
    <row r="302" spans="1:16">
      <c r="A302" s="76"/>
      <c r="C302" s="66" t="s">
        <v>4</v>
      </c>
      <c r="D302" s="69"/>
      <c r="F302" s="69"/>
      <c r="G302" s="69"/>
      <c r="H302" s="108"/>
      <c r="I302" s="69"/>
      <c r="J302" s="186" t="s">
        <v>4</v>
      </c>
      <c r="K302" s="110"/>
      <c r="L302" s="187"/>
      <c r="N302" s="100"/>
      <c r="O302" s="100"/>
    </row>
    <row r="303" spans="1:16">
      <c r="A303" s="76">
        <v>34</v>
      </c>
      <c r="C303" s="67" t="s">
        <v>243</v>
      </c>
      <c r="D303" s="69"/>
      <c r="F303" s="69"/>
      <c r="G303" s="69"/>
      <c r="H303" s="104"/>
      <c r="I303" s="69"/>
      <c r="J303" s="65">
        <v>20860</v>
      </c>
      <c r="K303" s="110"/>
      <c r="L303" s="188"/>
      <c r="M303" s="100"/>
      <c r="N303" s="189"/>
      <c r="O303" s="100"/>
      <c r="P303" s="100"/>
    </row>
    <row r="304" spans="1:16">
      <c r="A304" s="76"/>
      <c r="D304" s="69"/>
      <c r="E304" s="69"/>
      <c r="F304" s="69"/>
      <c r="G304" s="69"/>
      <c r="H304" s="69"/>
      <c r="I304" s="69"/>
      <c r="J304" s="186"/>
      <c r="K304" s="110"/>
      <c r="L304" s="121"/>
      <c r="M304" s="100"/>
      <c r="N304" s="122"/>
      <c r="O304" s="122"/>
      <c r="P304" s="100"/>
    </row>
    <row r="305" spans="1:16">
      <c r="C305" s="67" t="s">
        <v>244</v>
      </c>
      <c r="D305" s="69"/>
      <c r="E305" s="69" t="s">
        <v>245</v>
      </c>
      <c r="F305" s="69"/>
      <c r="G305" s="69"/>
      <c r="H305" s="69"/>
      <c r="I305" s="69"/>
      <c r="L305" s="121"/>
      <c r="M305" s="100"/>
      <c r="N305" s="122"/>
      <c r="O305" s="122"/>
      <c r="P305" s="100"/>
    </row>
    <row r="306" spans="1:16">
      <c r="A306" s="76">
        <v>35</v>
      </c>
      <c r="C306" s="67" t="s">
        <v>246</v>
      </c>
      <c r="D306" s="74"/>
      <c r="E306" s="74"/>
      <c r="F306" s="74"/>
      <c r="G306" s="74"/>
      <c r="H306" s="74"/>
      <c r="I306" s="74"/>
      <c r="J306" s="7">
        <v>23933641.659933027</v>
      </c>
      <c r="K306" s="74"/>
      <c r="L306" s="126"/>
      <c r="M306" s="100"/>
      <c r="N306" s="126"/>
      <c r="O306" s="126"/>
      <c r="P306" s="100"/>
    </row>
    <row r="307" spans="1:16">
      <c r="A307" s="76">
        <v>36</v>
      </c>
      <c r="C307" s="190" t="s">
        <v>247</v>
      </c>
      <c r="D307" s="99"/>
      <c r="E307" s="99"/>
      <c r="F307" s="99"/>
      <c r="G307" s="99"/>
      <c r="H307" s="69"/>
      <c r="I307" s="69"/>
      <c r="J307" s="7">
        <v>5091666</v>
      </c>
      <c r="L307" s="126"/>
      <c r="M307" s="100"/>
      <c r="N307" s="126"/>
      <c r="O307" s="126"/>
      <c r="P307" s="100"/>
    </row>
    <row r="308" spans="1:16">
      <c r="A308" s="76" t="s">
        <v>248</v>
      </c>
      <c r="C308" s="190" t="s">
        <v>385</v>
      </c>
      <c r="D308" s="99"/>
      <c r="E308" s="99"/>
      <c r="F308" s="99"/>
      <c r="G308" s="99"/>
      <c r="H308" s="69"/>
      <c r="I308" s="69"/>
      <c r="J308" s="7">
        <v>1570756.6488842727</v>
      </c>
      <c r="L308" s="126"/>
      <c r="M308" s="100"/>
      <c r="N308" s="126"/>
      <c r="O308" s="126"/>
      <c r="P308" s="100"/>
    </row>
    <row r="309" spans="1:16" ht="16.5" thickBot="1">
      <c r="A309" s="76" t="s">
        <v>249</v>
      </c>
      <c r="C309" s="176" t="s">
        <v>386</v>
      </c>
      <c r="D309" s="185"/>
      <c r="E309" s="185"/>
      <c r="F309" s="185"/>
      <c r="G309" s="185"/>
      <c r="H309" s="69"/>
      <c r="I309" s="69"/>
      <c r="J309" s="9">
        <v>3954071.0110487542</v>
      </c>
      <c r="L309" s="126"/>
      <c r="M309" s="100"/>
      <c r="N309" s="126"/>
      <c r="O309" s="126"/>
      <c r="P309" s="100"/>
    </row>
    <row r="310" spans="1:16">
      <c r="A310" s="76">
        <v>37</v>
      </c>
      <c r="C310" s="191" t="s">
        <v>250</v>
      </c>
      <c r="D310" s="76"/>
      <c r="E310" s="74"/>
      <c r="F310" s="74"/>
      <c r="G310" s="74"/>
      <c r="H310" s="74"/>
      <c r="I310" s="69"/>
      <c r="J310" s="10">
        <f>+J306-J307-J308-J309</f>
        <v>13317147.999999998</v>
      </c>
      <c r="K310" s="74"/>
      <c r="L310" s="126"/>
      <c r="M310" s="100"/>
      <c r="N310" s="126"/>
      <c r="O310" s="126"/>
      <c r="P310" s="100"/>
    </row>
    <row r="311" spans="1:16">
      <c r="A311" s="76"/>
      <c r="D311" s="76"/>
      <c r="E311" s="74"/>
      <c r="F311" s="74"/>
      <c r="G311" s="74"/>
      <c r="H311" s="74"/>
      <c r="I311" s="69"/>
      <c r="J311" s="192"/>
      <c r="K311" s="74"/>
      <c r="L311" s="120"/>
      <c r="M311" s="100"/>
      <c r="N311" s="100"/>
      <c r="O311" s="100"/>
      <c r="P311" s="100"/>
    </row>
    <row r="312" spans="1:16">
      <c r="C312" s="67"/>
      <c r="D312" s="67"/>
      <c r="E312" s="68"/>
      <c r="F312" s="67"/>
      <c r="G312" s="67"/>
      <c r="H312" s="67"/>
      <c r="I312" s="69"/>
      <c r="J312" s="76"/>
      <c r="K312" s="76"/>
      <c r="L312" s="71"/>
    </row>
    <row r="313" spans="1:16">
      <c r="C313" s="67"/>
      <c r="D313" s="67"/>
      <c r="E313" s="68"/>
      <c r="F313" s="67"/>
      <c r="G313" s="67"/>
      <c r="H313" s="67"/>
      <c r="I313" s="69"/>
      <c r="J313" s="70"/>
      <c r="K313" s="70"/>
      <c r="L313" s="71"/>
    </row>
    <row r="314" spans="1:16">
      <c r="C314" s="67"/>
      <c r="D314" s="67"/>
      <c r="E314" s="68"/>
      <c r="F314" s="67"/>
      <c r="G314" s="67"/>
      <c r="H314" s="67"/>
      <c r="I314" s="69"/>
      <c r="J314" s="69"/>
      <c r="L314" s="70" t="s">
        <v>0</v>
      </c>
    </row>
    <row r="315" spans="1:16">
      <c r="C315" s="67"/>
      <c r="D315" s="67"/>
      <c r="E315" s="68"/>
      <c r="F315" s="67"/>
      <c r="G315" s="67"/>
      <c r="H315" s="67"/>
      <c r="I315" s="69"/>
      <c r="J315" s="69"/>
      <c r="K315" s="69"/>
      <c r="L315" s="71" t="s">
        <v>251</v>
      </c>
    </row>
    <row r="316" spans="1:16">
      <c r="C316" s="67"/>
      <c r="D316" s="67"/>
      <c r="E316" s="68"/>
      <c r="F316" s="67"/>
      <c r="G316" s="67"/>
      <c r="H316" s="67"/>
      <c r="I316" s="69"/>
      <c r="J316" s="69"/>
      <c r="K316" s="69"/>
      <c r="L316" s="71"/>
    </row>
    <row r="317" spans="1:16">
      <c r="C317" s="67" t="s">
        <v>2</v>
      </c>
      <c r="D317" s="67"/>
      <c r="E317" s="68" t="s">
        <v>3</v>
      </c>
      <c r="F317" s="67"/>
      <c r="G317" s="67"/>
      <c r="H317" s="67"/>
      <c r="I317" s="69"/>
      <c r="J317" s="204" t="str">
        <f>J5</f>
        <v>For the 12 months ended 12/31/16</v>
      </c>
      <c r="K317" s="1"/>
      <c r="L317" s="1"/>
    </row>
    <row r="318" spans="1:16">
      <c r="C318" s="67"/>
      <c r="D318" s="74" t="s">
        <v>4</v>
      </c>
      <c r="E318" s="74" t="s">
        <v>5</v>
      </c>
      <c r="F318" s="74"/>
      <c r="G318" s="74"/>
      <c r="H318" s="74"/>
      <c r="I318" s="69"/>
      <c r="J318" s="69"/>
      <c r="K318" s="69"/>
      <c r="L318" s="2"/>
    </row>
    <row r="319" spans="1:16">
      <c r="A319" s="76"/>
      <c r="B319" s="69"/>
      <c r="D319" s="76"/>
      <c r="E319" s="74"/>
      <c r="F319" s="74"/>
      <c r="G319" s="74"/>
      <c r="H319" s="74"/>
      <c r="I319" s="69"/>
      <c r="J319" s="193"/>
      <c r="K319" s="110"/>
      <c r="L319" s="82"/>
    </row>
    <row r="320" spans="1:16">
      <c r="A320" s="76"/>
      <c r="B320" s="69"/>
      <c r="D320" s="76"/>
      <c r="E320" s="15" t="str">
        <f>E8</f>
        <v>Montana-Dakota Utilities Co.</v>
      </c>
      <c r="F320" s="78"/>
      <c r="G320" s="78"/>
      <c r="H320" s="74"/>
      <c r="I320" s="69"/>
      <c r="J320" s="193"/>
      <c r="K320" s="110"/>
      <c r="L320" s="82"/>
    </row>
    <row r="321" spans="1:12">
      <c r="A321" s="76"/>
      <c r="B321" s="69"/>
      <c r="D321" s="76"/>
      <c r="E321" s="74"/>
      <c r="F321" s="74"/>
      <c r="G321" s="74"/>
      <c r="H321" s="74"/>
      <c r="I321" s="69"/>
      <c r="J321" s="193"/>
      <c r="K321" s="110"/>
      <c r="L321" s="82"/>
    </row>
    <row r="322" spans="1:12">
      <c r="A322" s="76"/>
      <c r="B322" s="69"/>
      <c r="C322" s="67" t="s">
        <v>252</v>
      </c>
      <c r="D322" s="76"/>
      <c r="E322" s="74"/>
      <c r="F322" s="74"/>
      <c r="G322" s="74"/>
      <c r="H322" s="74"/>
      <c r="I322" s="69"/>
      <c r="J322" s="74"/>
      <c r="K322" s="69"/>
      <c r="L322" s="82"/>
    </row>
    <row r="323" spans="1:12">
      <c r="A323" s="76"/>
      <c r="B323" s="69"/>
      <c r="C323" s="67" t="s">
        <v>253</v>
      </c>
      <c r="D323" s="76"/>
      <c r="E323" s="74"/>
      <c r="F323" s="74"/>
      <c r="G323" s="74"/>
      <c r="H323" s="74"/>
      <c r="I323" s="69"/>
      <c r="J323" s="74"/>
      <c r="K323" s="69"/>
      <c r="L323" s="82"/>
    </row>
    <row r="324" spans="1:12">
      <c r="A324" s="76" t="s">
        <v>254</v>
      </c>
      <c r="B324" s="69"/>
      <c r="C324" s="67"/>
      <c r="D324" s="69"/>
      <c r="E324" s="74"/>
      <c r="F324" s="74"/>
      <c r="G324" s="74"/>
      <c r="H324" s="74"/>
      <c r="I324" s="69"/>
      <c r="J324" s="74"/>
      <c r="K324" s="69"/>
      <c r="L324" s="82"/>
    </row>
    <row r="325" spans="1:12" ht="16.5" thickBot="1">
      <c r="A325" s="80" t="s">
        <v>255</v>
      </c>
      <c r="B325" s="69"/>
      <c r="C325" s="67"/>
      <c r="D325" s="69"/>
      <c r="E325" s="74"/>
      <c r="F325" s="74"/>
      <c r="G325" s="74"/>
      <c r="H325" s="74"/>
      <c r="I325" s="69"/>
      <c r="J325" s="74"/>
      <c r="K325" s="69"/>
      <c r="L325" s="82"/>
    </row>
    <row r="326" spans="1:12">
      <c r="A326" s="76" t="s">
        <v>256</v>
      </c>
      <c r="B326" s="69"/>
      <c r="C326" s="111" t="s">
        <v>257</v>
      </c>
      <c r="D326" s="2"/>
      <c r="E326" s="82"/>
      <c r="F326" s="82"/>
      <c r="G326" s="82"/>
      <c r="H326" s="82"/>
      <c r="I326" s="2"/>
      <c r="J326" s="82"/>
      <c r="K326" s="2"/>
      <c r="L326" s="82"/>
    </row>
    <row r="327" spans="1:12">
      <c r="A327" s="76" t="s">
        <v>258</v>
      </c>
      <c r="B327" s="69"/>
      <c r="C327" s="111" t="s">
        <v>259</v>
      </c>
      <c r="D327" s="2"/>
      <c r="E327" s="82"/>
      <c r="F327" s="82"/>
      <c r="G327" s="82"/>
      <c r="H327" s="82"/>
      <c r="I327" s="2"/>
      <c r="J327" s="82"/>
      <c r="K327" s="2"/>
      <c r="L327" s="82"/>
    </row>
    <row r="328" spans="1:12">
      <c r="A328" s="76" t="s">
        <v>260</v>
      </c>
      <c r="B328" s="69"/>
      <c r="C328" s="111" t="s">
        <v>261</v>
      </c>
      <c r="D328" s="2"/>
      <c r="E328" s="2"/>
      <c r="F328" s="2"/>
      <c r="G328" s="2"/>
      <c r="H328" s="2"/>
      <c r="I328" s="2"/>
      <c r="J328" s="82"/>
      <c r="K328" s="2"/>
      <c r="L328" s="2"/>
    </row>
    <row r="329" spans="1:12">
      <c r="A329" s="76" t="s">
        <v>262</v>
      </c>
      <c r="B329" s="69"/>
      <c r="C329" s="111" t="s">
        <v>261</v>
      </c>
      <c r="D329" s="2"/>
      <c r="E329" s="2"/>
      <c r="F329" s="2"/>
      <c r="G329" s="2"/>
      <c r="H329" s="2"/>
      <c r="I329" s="2"/>
      <c r="J329" s="82"/>
      <c r="K329" s="2"/>
      <c r="L329" s="2"/>
    </row>
    <row r="330" spans="1:12">
      <c r="A330" s="76" t="s">
        <v>263</v>
      </c>
      <c r="B330" s="69"/>
      <c r="C330" s="2" t="s">
        <v>264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>
      <c r="A331" s="76" t="s">
        <v>265</v>
      </c>
      <c r="B331" s="69"/>
      <c r="C331" s="2" t="s">
        <v>266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>
      <c r="A332" s="76"/>
      <c r="B332" s="69"/>
      <c r="C332" s="2" t="s">
        <v>267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>
      <c r="A333" s="76"/>
      <c r="B333" s="69"/>
      <c r="C333" s="2" t="s">
        <v>268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>
      <c r="A334" s="76"/>
      <c r="B334" s="69"/>
      <c r="C334" s="2" t="s">
        <v>396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>
      <c r="A335" s="76"/>
      <c r="B335" s="69"/>
      <c r="C335" s="2" t="s">
        <v>397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>
      <c r="A336" s="76"/>
      <c r="B336" s="69"/>
      <c r="C336" s="2" t="s">
        <v>398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>
      <c r="A337" s="76"/>
      <c r="B337" s="69"/>
      <c r="C337" s="2" t="s">
        <v>399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>
      <c r="A338" s="76" t="s">
        <v>269</v>
      </c>
      <c r="B338" s="69"/>
      <c r="C338" s="2" t="s">
        <v>270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>
      <c r="A339" s="76" t="s">
        <v>271</v>
      </c>
      <c r="B339" s="69"/>
      <c r="C339" s="2" t="s">
        <v>272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>
      <c r="A340" s="76"/>
      <c r="B340" s="69"/>
      <c r="C340" s="2" t="s">
        <v>273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>
      <c r="A341" s="76" t="s">
        <v>274</v>
      </c>
      <c r="B341" s="69"/>
      <c r="C341" s="2" t="s">
        <v>275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>
      <c r="A342" s="76"/>
      <c r="B342" s="69"/>
      <c r="C342" s="110" t="s">
        <v>276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>
      <c r="A343" s="76"/>
      <c r="B343" s="69"/>
      <c r="C343" s="2" t="s">
        <v>277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>
      <c r="A344" s="76" t="s">
        <v>278</v>
      </c>
      <c r="B344" s="69"/>
      <c r="C344" s="2" t="s">
        <v>279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>
      <c r="A345" s="76"/>
      <c r="B345" s="69"/>
      <c r="C345" s="2" t="s">
        <v>280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>
      <c r="A346" s="76"/>
      <c r="B346" s="69"/>
      <c r="C346" s="2" t="s">
        <v>281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>
      <c r="A347" s="76" t="s">
        <v>282</v>
      </c>
      <c r="B347" s="69"/>
      <c r="C347" s="2" t="s">
        <v>283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>
      <c r="A348" s="76"/>
      <c r="B348" s="69"/>
      <c r="C348" s="2" t="s">
        <v>284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>
      <c r="A349" s="76"/>
      <c r="B349" s="69"/>
      <c r="C349" s="2" t="s">
        <v>285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>
      <c r="A350" s="76"/>
      <c r="B350" s="69"/>
      <c r="C350" s="2" t="s">
        <v>286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>
      <c r="A351" s="76"/>
      <c r="B351" s="69"/>
      <c r="C351" s="2" t="s">
        <v>287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>
      <c r="A352" s="76"/>
      <c r="B352" s="69"/>
      <c r="C352" s="2" t="s">
        <v>288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4">
      <c r="A353" s="76" t="s">
        <v>4</v>
      </c>
      <c r="B353" s="69"/>
      <c r="C353" s="2" t="s">
        <v>289</v>
      </c>
      <c r="D353" s="2" t="s">
        <v>290</v>
      </c>
      <c r="E353" s="12">
        <v>0.35</v>
      </c>
      <c r="F353" s="2"/>
      <c r="G353" s="2"/>
      <c r="H353" s="2"/>
      <c r="I353" s="2"/>
      <c r="J353" s="2"/>
      <c r="K353" s="2"/>
      <c r="L353" s="2"/>
    </row>
    <row r="354" spans="1:14">
      <c r="A354" s="76"/>
      <c r="B354" s="69"/>
      <c r="C354" s="2"/>
      <c r="D354" s="2" t="s">
        <v>291</v>
      </c>
      <c r="E354" s="12">
        <v>4.65E-2</v>
      </c>
      <c r="F354" s="2" t="s">
        <v>292</v>
      </c>
      <c r="G354" s="2"/>
      <c r="H354" s="2"/>
      <c r="I354" s="2"/>
      <c r="J354" s="2"/>
      <c r="K354" s="2"/>
      <c r="L354" s="2"/>
      <c r="N354" s="194"/>
    </row>
    <row r="355" spans="1:14">
      <c r="A355" s="76"/>
      <c r="B355" s="69"/>
      <c r="C355" s="2"/>
      <c r="D355" s="2" t="s">
        <v>293</v>
      </c>
      <c r="E355" s="12">
        <v>0</v>
      </c>
      <c r="F355" s="2" t="s">
        <v>294</v>
      </c>
      <c r="G355" s="2"/>
      <c r="H355" s="2"/>
      <c r="I355" s="2"/>
      <c r="J355" s="2"/>
      <c r="K355" s="2"/>
      <c r="L355" s="2"/>
    </row>
    <row r="356" spans="1:14">
      <c r="A356" s="76" t="s">
        <v>295</v>
      </c>
      <c r="B356" s="69"/>
      <c r="C356" s="2" t="s">
        <v>296</v>
      </c>
      <c r="D356" s="2"/>
      <c r="E356" s="2"/>
      <c r="F356" s="2"/>
      <c r="G356" s="2"/>
      <c r="H356" s="2"/>
      <c r="I356" s="2"/>
      <c r="J356" s="195"/>
      <c r="K356" s="195"/>
      <c r="L356" s="2"/>
    </row>
    <row r="357" spans="1:14">
      <c r="A357" s="76" t="s">
        <v>297</v>
      </c>
      <c r="B357" s="69"/>
      <c r="C357" s="2" t="s">
        <v>298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4">
      <c r="A358" s="76"/>
      <c r="B358" s="69"/>
      <c r="C358" s="2" t="s">
        <v>299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4">
      <c r="A359" s="76" t="s">
        <v>300</v>
      </c>
      <c r="B359" s="69"/>
      <c r="C359" s="2" t="s">
        <v>301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4">
      <c r="A360" s="76"/>
      <c r="B360" s="69"/>
      <c r="C360" s="2" t="s">
        <v>302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4">
      <c r="A361" s="76"/>
      <c r="B361" s="69"/>
      <c r="C361" s="2" t="s">
        <v>303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4">
      <c r="A362" s="76" t="s">
        <v>304</v>
      </c>
      <c r="B362" s="69"/>
      <c r="C362" s="2" t="s">
        <v>305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4">
      <c r="A363" s="76" t="s">
        <v>306</v>
      </c>
      <c r="B363" s="69"/>
      <c r="C363" s="2" t="s">
        <v>307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4">
      <c r="A364" s="76"/>
      <c r="B364" s="69"/>
      <c r="C364" s="2" t="s">
        <v>308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4">
      <c r="A365" s="76"/>
      <c r="B365" s="69"/>
      <c r="C365" s="2" t="s">
        <v>400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4">
      <c r="A366" s="76" t="s">
        <v>309</v>
      </c>
      <c r="B366" s="69"/>
      <c r="C366" s="2" t="s">
        <v>310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4">
      <c r="A367" s="76"/>
      <c r="B367" s="69"/>
      <c r="C367" s="2" t="s">
        <v>311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4">
      <c r="A368" s="76" t="s">
        <v>312</v>
      </c>
      <c r="B368" s="69"/>
      <c r="C368" s="2" t="s">
        <v>313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76" t="s">
        <v>314</v>
      </c>
      <c r="B369" s="69"/>
      <c r="C369" s="2" t="s">
        <v>315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>
      <c r="B370" s="69"/>
      <c r="C370" s="2" t="s">
        <v>316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>
      <c r="C371" s="2" t="s">
        <v>317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>
      <c r="A372" s="106" t="s">
        <v>318</v>
      </c>
      <c r="C372" s="2" t="s">
        <v>319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>
      <c r="C373" s="2" t="s">
        <v>320</v>
      </c>
      <c r="D373" s="196"/>
      <c r="E373" s="2"/>
      <c r="F373" s="2"/>
      <c r="G373" s="2"/>
      <c r="H373" s="2"/>
      <c r="I373" s="2"/>
      <c r="J373" s="2"/>
      <c r="K373" s="2"/>
      <c r="L373" s="2"/>
    </row>
    <row r="374" spans="1:12">
      <c r="C374" s="2" t="s">
        <v>321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>
      <c r="C375" s="2" t="s">
        <v>322</v>
      </c>
      <c r="D375" s="2"/>
      <c r="E375" s="196"/>
      <c r="F375" s="2"/>
      <c r="G375" s="2"/>
      <c r="H375" s="2"/>
      <c r="I375" s="2"/>
      <c r="J375" s="2"/>
      <c r="K375" s="2"/>
      <c r="L375" s="2"/>
    </row>
    <row r="376" spans="1:12">
      <c r="A376" s="106" t="s">
        <v>323</v>
      </c>
      <c r="C376" s="2" t="s">
        <v>324</v>
      </c>
      <c r="D376" s="69"/>
      <c r="E376" s="69"/>
      <c r="F376" s="69"/>
      <c r="G376" s="69"/>
      <c r="H376" s="69"/>
      <c r="I376" s="69"/>
      <c r="J376" s="2"/>
      <c r="K376" s="2"/>
      <c r="L376" s="2"/>
    </row>
    <row r="377" spans="1:12" s="110" customFormat="1">
      <c r="A377" s="197" t="s">
        <v>325</v>
      </c>
      <c r="C377" s="2" t="s">
        <v>326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>
      <c r="A378" s="106" t="s">
        <v>327</v>
      </c>
      <c r="C378" s="2" t="s">
        <v>387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>
      <c r="A379" s="106" t="s">
        <v>328</v>
      </c>
      <c r="C379" s="2" t="s">
        <v>388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>
      <c r="A380" s="106"/>
      <c r="C380" s="2" t="s">
        <v>389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>
      <c r="A381" s="106" t="s">
        <v>329</v>
      </c>
      <c r="C381" s="236" t="s">
        <v>390</v>
      </c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>
      <c r="A382" s="106" t="s">
        <v>331</v>
      </c>
      <c r="C382" s="236" t="s">
        <v>391</v>
      </c>
      <c r="D382" s="236"/>
      <c r="E382" s="236"/>
      <c r="F382" s="236"/>
      <c r="G382" s="236"/>
      <c r="H382" s="236"/>
      <c r="I382" s="236"/>
      <c r="J382" s="236"/>
      <c r="K382" s="236"/>
      <c r="L382" s="236"/>
    </row>
    <row r="383" spans="1:12">
      <c r="A383" s="106"/>
      <c r="C383" s="2" t="s">
        <v>392</v>
      </c>
      <c r="D383" s="69"/>
      <c r="E383" s="69"/>
      <c r="F383" s="69"/>
      <c r="G383" s="69"/>
      <c r="H383" s="69"/>
      <c r="I383" s="69"/>
      <c r="J383" s="2"/>
      <c r="K383" s="2"/>
      <c r="L383" s="2"/>
    </row>
    <row r="384" spans="1:12">
      <c r="A384" s="106" t="s">
        <v>333</v>
      </c>
      <c r="C384" s="90" t="s">
        <v>347</v>
      </c>
      <c r="D384" s="69"/>
      <c r="E384" s="69"/>
      <c r="F384" s="69"/>
      <c r="G384" s="69"/>
      <c r="H384" s="69"/>
      <c r="I384" s="69"/>
      <c r="J384" s="2"/>
      <c r="K384" s="2"/>
      <c r="L384" s="2"/>
    </row>
    <row r="385" spans="1:12">
      <c r="A385" s="106" t="s">
        <v>335</v>
      </c>
      <c r="C385" s="198" t="s">
        <v>349</v>
      </c>
      <c r="D385" s="69"/>
      <c r="E385" s="69"/>
      <c r="F385" s="69"/>
      <c r="G385" s="69"/>
      <c r="H385" s="69"/>
      <c r="I385" s="69"/>
      <c r="J385" s="2"/>
      <c r="K385" s="2"/>
      <c r="L385" s="2"/>
    </row>
    <row r="386" spans="1:12">
      <c r="A386" s="106" t="s">
        <v>344</v>
      </c>
      <c r="C386" s="90" t="s">
        <v>393</v>
      </c>
      <c r="D386" s="69"/>
      <c r="E386" s="69"/>
      <c r="F386" s="69"/>
      <c r="G386" s="69"/>
      <c r="H386" s="69"/>
      <c r="I386" s="69"/>
      <c r="J386" s="2"/>
      <c r="K386" s="2"/>
      <c r="L386" s="2"/>
    </row>
    <row r="387" spans="1:12">
      <c r="A387" s="199"/>
      <c r="B387" s="89"/>
      <c r="C387" s="90" t="s">
        <v>394</v>
      </c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1:12">
      <c r="A388" s="199"/>
      <c r="B388" s="89"/>
      <c r="C388" s="90" t="s">
        <v>330</v>
      </c>
      <c r="D388" s="90"/>
      <c r="E388" s="90"/>
      <c r="F388" s="90"/>
      <c r="G388" s="90"/>
      <c r="H388" s="198"/>
      <c r="I388" s="139"/>
      <c r="J388" s="90"/>
      <c r="K388" s="90"/>
      <c r="L388" s="90"/>
    </row>
    <row r="389" spans="1:12">
      <c r="A389" s="200" t="s">
        <v>345</v>
      </c>
      <c r="B389" s="89"/>
      <c r="C389" s="90" t="s">
        <v>332</v>
      </c>
      <c r="D389" s="90"/>
      <c r="E389" s="90"/>
      <c r="F389" s="90"/>
      <c r="G389" s="90"/>
      <c r="H389" s="198"/>
      <c r="I389" s="198"/>
      <c r="J389" s="90"/>
      <c r="K389" s="90"/>
      <c r="L389" s="90"/>
    </row>
    <row r="390" spans="1:12">
      <c r="A390" s="201" t="s">
        <v>346</v>
      </c>
      <c r="B390" s="89"/>
      <c r="C390" s="90" t="s">
        <v>334</v>
      </c>
      <c r="D390" s="90"/>
      <c r="E390" s="90"/>
      <c r="F390" s="90"/>
      <c r="G390" s="90"/>
      <c r="H390" s="198"/>
      <c r="I390" s="198"/>
      <c r="J390" s="90"/>
      <c r="K390" s="90"/>
      <c r="L390" s="90"/>
    </row>
    <row r="391" spans="1:12">
      <c r="A391" s="201" t="s">
        <v>348</v>
      </c>
      <c r="B391" s="139"/>
      <c r="C391" s="90" t="s">
        <v>336</v>
      </c>
      <c r="D391" s="89"/>
      <c r="E391" s="89"/>
      <c r="F391" s="90"/>
      <c r="G391" s="90"/>
      <c r="H391" s="90"/>
      <c r="I391" s="198"/>
      <c r="J391" s="90"/>
      <c r="K391" s="90"/>
      <c r="L391" s="90"/>
    </row>
    <row r="392" spans="1:12">
      <c r="A392" s="201"/>
      <c r="B392" s="139"/>
      <c r="C392" s="202" t="s">
        <v>337</v>
      </c>
      <c r="D392" s="90" t="s">
        <v>338</v>
      </c>
      <c r="E392" s="206">
        <v>505945</v>
      </c>
      <c r="F392" s="90"/>
      <c r="G392" s="90"/>
      <c r="H392" s="90"/>
      <c r="I392" s="198"/>
      <c r="J392" s="90"/>
      <c r="K392" s="90"/>
      <c r="L392" s="90"/>
    </row>
    <row r="393" spans="1:12">
      <c r="A393" s="201"/>
      <c r="B393" s="139"/>
      <c r="C393" s="202" t="s">
        <v>339</v>
      </c>
      <c r="D393" s="90" t="s">
        <v>338</v>
      </c>
      <c r="E393" s="207">
        <v>514133</v>
      </c>
      <c r="F393" s="89"/>
      <c r="G393" s="90"/>
      <c r="H393" s="90"/>
      <c r="I393" s="198"/>
      <c r="J393" s="90"/>
      <c r="K393" s="90"/>
      <c r="L393" s="90"/>
    </row>
    <row r="394" spans="1:12">
      <c r="A394" s="201"/>
      <c r="B394" s="139"/>
      <c r="C394" s="203" t="s">
        <v>340</v>
      </c>
      <c r="D394" s="90"/>
      <c r="E394" s="49">
        <f>+E393-E392</f>
        <v>8188</v>
      </c>
      <c r="F394" s="89"/>
      <c r="G394" s="90"/>
      <c r="H394" s="90"/>
      <c r="I394" s="198"/>
      <c r="J394" s="90"/>
      <c r="K394" s="90"/>
      <c r="L394" s="90"/>
    </row>
    <row r="395" spans="1:12">
      <c r="A395" s="201"/>
      <c r="B395" s="139"/>
      <c r="C395" s="202" t="s">
        <v>341</v>
      </c>
      <c r="D395" s="90" t="s">
        <v>342</v>
      </c>
      <c r="E395" s="208">
        <v>47.496000000000002</v>
      </c>
      <c r="F395" s="89"/>
      <c r="G395" s="90"/>
      <c r="H395" s="90"/>
      <c r="I395" s="198"/>
      <c r="J395" s="90"/>
      <c r="K395" s="90"/>
      <c r="L395" s="90"/>
    </row>
    <row r="396" spans="1:12">
      <c r="A396" s="201"/>
      <c r="B396" s="139"/>
      <c r="C396" s="202" t="s">
        <v>343</v>
      </c>
      <c r="D396" s="90"/>
      <c r="E396" s="49">
        <f>+E394*E395</f>
        <v>388897.24800000002</v>
      </c>
      <c r="F396" s="89"/>
      <c r="G396" s="90"/>
      <c r="H396" s="90"/>
      <c r="I396" s="198"/>
      <c r="J396" s="90"/>
      <c r="K396" s="90"/>
      <c r="L396" s="90"/>
    </row>
    <row r="397" spans="1:12">
      <c r="A397" s="201"/>
      <c r="B397" s="139"/>
      <c r="F397" s="89"/>
      <c r="G397" s="90"/>
      <c r="H397" s="90"/>
      <c r="I397" s="198"/>
      <c r="J397" s="90"/>
      <c r="K397" s="90"/>
      <c r="L397" s="90"/>
    </row>
    <row r="398" spans="1:12">
      <c r="A398" s="201"/>
      <c r="B398" s="139"/>
      <c r="F398" s="90"/>
      <c r="G398" s="90"/>
      <c r="H398" s="90"/>
      <c r="I398" s="198"/>
      <c r="J398" s="90"/>
      <c r="K398" s="90"/>
      <c r="L398" s="90"/>
    </row>
    <row r="399" spans="1:12">
      <c r="A399" s="200"/>
      <c r="B399" s="200"/>
      <c r="L399" s="66"/>
    </row>
    <row r="400" spans="1:12">
      <c r="B400" s="200"/>
      <c r="L400" s="66"/>
    </row>
    <row r="401" spans="1:12">
      <c r="B401" s="201"/>
      <c r="D401" s="198"/>
      <c r="E401" s="198"/>
      <c r="F401" s="198"/>
      <c r="G401" s="198"/>
      <c r="H401" s="198"/>
      <c r="I401" s="198"/>
      <c r="J401" s="90"/>
      <c r="K401" s="198"/>
      <c r="L401" s="90"/>
    </row>
    <row r="402" spans="1:12">
      <c r="B402" s="139"/>
      <c r="D402" s="198"/>
      <c r="E402" s="198"/>
      <c r="F402" s="198"/>
      <c r="G402" s="198"/>
      <c r="H402" s="198"/>
      <c r="I402" s="198"/>
      <c r="J402" s="198"/>
      <c r="K402" s="139"/>
      <c r="L402" s="89"/>
    </row>
    <row r="403" spans="1:12">
      <c r="A403" s="67"/>
      <c r="C403" s="67"/>
      <c r="D403" s="74"/>
      <c r="E403" s="126"/>
      <c r="F403" s="74"/>
      <c r="G403" s="74"/>
      <c r="H403" s="127"/>
      <c r="I403" s="74"/>
      <c r="J403" s="126"/>
      <c r="K403" s="74"/>
      <c r="L403" s="133"/>
    </row>
    <row r="404" spans="1:12">
      <c r="C404" s="69"/>
      <c r="D404" s="69"/>
      <c r="E404" s="69"/>
      <c r="F404" s="69"/>
      <c r="G404" s="69"/>
      <c r="H404" s="69"/>
      <c r="I404" s="69"/>
      <c r="J404" s="69"/>
      <c r="K404" s="69"/>
      <c r="L404" s="2"/>
    </row>
    <row r="405" spans="1:12">
      <c r="C405" s="69"/>
      <c r="D405" s="69"/>
      <c r="E405" s="69"/>
      <c r="F405" s="69"/>
      <c r="G405" s="69"/>
      <c r="H405" s="69"/>
      <c r="I405" s="69"/>
      <c r="J405" s="69"/>
      <c r="K405" s="69"/>
      <c r="L405" s="2"/>
    </row>
    <row r="406" spans="1:12">
      <c r="C406" s="69"/>
      <c r="D406" s="69"/>
      <c r="E406" s="69"/>
      <c r="F406" s="69"/>
      <c r="G406" s="69"/>
      <c r="H406" s="69"/>
      <c r="I406" s="69"/>
      <c r="J406" s="69"/>
      <c r="K406" s="69"/>
      <c r="L406" s="2"/>
    </row>
    <row r="407" spans="1:12">
      <c r="C407" s="110"/>
    </row>
  </sheetData>
  <sheetProtection algorithmName="SHA-512" hashValue="BlcNtFlgooyOScduMcpmy3+SlAaJ6xL/TOezGh1SBB06zpD38wknPpSqXDwMgBP8G7eGgZsO4jzYSnetf/F0PA==" saltValue="E1RwS0fYgGTq8xtLeor7qQ==" spinCount="100000" sheet="1" objects="1" scenarios="1" formatCells="0" formatColumns="0"/>
  <mergeCells count="5">
    <mergeCell ref="C382:L382"/>
    <mergeCell ref="C219:D219"/>
    <mergeCell ref="C223:D223"/>
    <mergeCell ref="N254:S254"/>
    <mergeCell ref="C381:L381"/>
  </mergeCells>
  <pageMargins left="0.49" right="0.17" top="0.5" bottom="0.43" header="0.3" footer="0.3"/>
  <pageSetup scale="53" orientation="portrait" r:id="rId1"/>
  <headerFooter>
    <oddFooter>&amp;RV33
EFF 01.01.16</oddFooter>
  </headerFooter>
  <rowBreaks count="4" manualBreakCount="4">
    <brk id="78" max="16383" man="1"/>
    <brk id="158" max="11" man="1"/>
    <brk id="234" max="11" man="1"/>
    <brk id="3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7" workbookViewId="0"/>
  </sheetViews>
  <sheetFormatPr defaultRowHeight="12.75"/>
  <cols>
    <col min="1" max="2" width="2.7109375" style="212" customWidth="1"/>
    <col min="3" max="3" width="55.7109375" style="212" customWidth="1"/>
    <col min="4" max="4" width="9.140625" style="212"/>
    <col min="5" max="5" width="12.28515625" style="213" customWidth="1"/>
    <col min="6" max="16384" width="9.140625" style="212"/>
  </cols>
  <sheetData>
    <row r="1" spans="1:5">
      <c r="A1" s="209" t="s">
        <v>350</v>
      </c>
      <c r="B1" s="210"/>
      <c r="C1" s="210"/>
      <c r="D1" s="210"/>
      <c r="E1" s="211"/>
    </row>
    <row r="2" spans="1:5">
      <c r="A2" s="209" t="s">
        <v>402</v>
      </c>
      <c r="B2" s="210"/>
      <c r="C2" s="210"/>
      <c r="D2" s="210"/>
      <c r="E2" s="211"/>
    </row>
    <row r="3" spans="1:5">
      <c r="A3" s="209" t="s">
        <v>403</v>
      </c>
      <c r="B3" s="210"/>
      <c r="C3" s="210"/>
      <c r="D3" s="210"/>
      <c r="E3" s="211"/>
    </row>
    <row r="6" spans="1:5">
      <c r="A6" s="212" t="s">
        <v>404</v>
      </c>
    </row>
    <row r="7" spans="1:5">
      <c r="B7" s="212" t="s">
        <v>24</v>
      </c>
      <c r="E7" s="230">
        <f>'MDU Attachment O 2016 Actuals'!J28</f>
        <v>16658652.182903126</v>
      </c>
    </row>
    <row r="8" spans="1:5">
      <c r="B8" s="212" t="s">
        <v>405</v>
      </c>
      <c r="E8" s="231">
        <v>18176426</v>
      </c>
    </row>
    <row r="9" spans="1:5">
      <c r="B9" s="212" t="s">
        <v>406</v>
      </c>
      <c r="C9" s="235"/>
      <c r="E9" s="232">
        <f>E7-E8</f>
        <v>-1517773.8170968741</v>
      </c>
    </row>
    <row r="10" spans="1:5">
      <c r="E10" s="231"/>
    </row>
    <row r="11" spans="1:5">
      <c r="A11" s="212" t="s">
        <v>407</v>
      </c>
      <c r="E11" s="231"/>
    </row>
    <row r="12" spans="1:5">
      <c r="B12" s="212" t="s">
        <v>337</v>
      </c>
      <c r="E12" s="231">
        <v>607426</v>
      </c>
    </row>
    <row r="13" spans="1:5">
      <c r="B13" s="212" t="s">
        <v>339</v>
      </c>
      <c r="E13" s="231">
        <v>540717</v>
      </c>
    </row>
    <row r="14" spans="1:5">
      <c r="C14" s="212" t="s">
        <v>408</v>
      </c>
      <c r="E14" s="232">
        <f>E13-E12</f>
        <v>-66709</v>
      </c>
    </row>
    <row r="15" spans="1:5">
      <c r="B15" s="212" t="s">
        <v>341</v>
      </c>
      <c r="E15" s="233">
        <v>33.615000000000002</v>
      </c>
    </row>
    <row r="16" spans="1:5">
      <c r="C16" s="235" t="s">
        <v>409</v>
      </c>
      <c r="E16" s="232">
        <f>ROUND(E14*E15,0)</f>
        <v>-2242423</v>
      </c>
    </row>
    <row r="17" spans="1:5">
      <c r="E17" s="231"/>
    </row>
    <row r="18" spans="1:5">
      <c r="A18" s="212" t="s">
        <v>13</v>
      </c>
      <c r="E18" s="231"/>
    </row>
    <row r="19" spans="1:5">
      <c r="B19" s="212" t="s">
        <v>410</v>
      </c>
      <c r="E19" s="231">
        <f>E9</f>
        <v>-1517773.8170968741</v>
      </c>
    </row>
    <row r="20" spans="1:5">
      <c r="B20" s="212" t="s">
        <v>411</v>
      </c>
      <c r="E20" s="231">
        <f>E16</f>
        <v>-2242423</v>
      </c>
    </row>
    <row r="21" spans="1:5">
      <c r="C21" s="212" t="s">
        <v>412</v>
      </c>
      <c r="E21" s="232">
        <f>SUM(E19:E20)</f>
        <v>-3760196.8170968741</v>
      </c>
    </row>
    <row r="22" spans="1:5">
      <c r="E22" s="231"/>
    </row>
    <row r="23" spans="1:5">
      <c r="A23" s="212" t="s">
        <v>413</v>
      </c>
      <c r="E23" s="231"/>
    </row>
    <row r="24" spans="1:5">
      <c r="B24" s="212" t="s">
        <v>414</v>
      </c>
      <c r="E24" s="234">
        <v>2.7469999999999999E-3</v>
      </c>
    </row>
    <row r="25" spans="1:5">
      <c r="B25" s="212" t="s">
        <v>415</v>
      </c>
      <c r="E25" s="213">
        <f>ROUND(E21*E24*24,0)</f>
        <v>-247902</v>
      </c>
    </row>
    <row r="27" spans="1:5" ht="13.5" thickBot="1">
      <c r="A27" s="212" t="s">
        <v>416</v>
      </c>
      <c r="E27" s="217">
        <f>ROUND(E21+E25,0)</f>
        <v>-4008099</v>
      </c>
    </row>
    <row r="28" spans="1:5" ht="13.5" thickTop="1"/>
    <row r="30" spans="1:5">
      <c r="A30" s="212" t="s">
        <v>417</v>
      </c>
      <c r="B30" s="218"/>
      <c r="C30" s="218"/>
      <c r="D30" s="218"/>
      <c r="E30" s="219"/>
    </row>
    <row r="31" spans="1:5">
      <c r="A31" s="212" t="s">
        <v>418</v>
      </c>
    </row>
  </sheetData>
  <printOptions horizontalCentered="1"/>
  <pageMargins left="0.17" right="0.2" top="1" bottom="0.75" header="0.3" footer="0.3"/>
  <pageSetup orientation="portrait" r:id="rId1"/>
  <headerFooter>
    <oddFooter>&amp;C&amp;F -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F7" sqref="F7"/>
    </sheetView>
  </sheetViews>
  <sheetFormatPr defaultRowHeight="12.75"/>
  <cols>
    <col min="1" max="1" width="2.7109375" style="212" customWidth="1"/>
    <col min="2" max="2" width="6.85546875" style="212" customWidth="1"/>
    <col min="3" max="3" width="8" style="212" customWidth="1"/>
    <col min="4" max="5" width="2.7109375" style="212" customWidth="1"/>
    <col min="6" max="6" width="68.85546875" style="212" customWidth="1"/>
    <col min="7" max="7" width="2.7109375" style="212" customWidth="1"/>
    <col min="8" max="8" width="11.7109375" style="212" customWidth="1"/>
    <col min="9" max="9" width="2.7109375" style="212" customWidth="1"/>
    <col min="10" max="10" width="11.7109375" style="213" customWidth="1"/>
    <col min="11" max="11" width="2.7109375" style="213" customWidth="1"/>
    <col min="12" max="12" width="10.7109375" style="213" customWidth="1"/>
    <col min="13" max="17" width="9.140625" style="213"/>
    <col min="18" max="16384" width="9.140625" style="212"/>
  </cols>
  <sheetData>
    <row r="1" spans="1:10" s="213" customFormat="1">
      <c r="A1" s="209" t="s">
        <v>350</v>
      </c>
      <c r="B1" s="209"/>
      <c r="C1" s="209"/>
      <c r="D1" s="209"/>
      <c r="E1" s="209"/>
      <c r="F1" s="209"/>
      <c r="G1" s="209"/>
      <c r="H1" s="209"/>
      <c r="I1" s="209"/>
      <c r="J1" s="220"/>
    </row>
    <row r="2" spans="1:10" s="213" customFormat="1">
      <c r="A2" s="209" t="s">
        <v>419</v>
      </c>
      <c r="B2" s="209"/>
      <c r="C2" s="209"/>
      <c r="D2" s="209"/>
      <c r="E2" s="209"/>
      <c r="F2" s="209"/>
      <c r="G2" s="209"/>
      <c r="H2" s="209"/>
      <c r="I2" s="209"/>
      <c r="J2" s="220"/>
    </row>
    <row r="3" spans="1:10" s="213" customFormat="1">
      <c r="A3" s="209" t="s">
        <v>420</v>
      </c>
      <c r="B3" s="209"/>
      <c r="C3" s="209"/>
      <c r="D3" s="209"/>
      <c r="E3" s="209"/>
      <c r="F3" s="209"/>
      <c r="G3" s="209"/>
      <c r="H3" s="209"/>
      <c r="I3" s="209"/>
      <c r="J3" s="220"/>
    </row>
    <row r="4" spans="1:10" s="213" customFormat="1">
      <c r="A4" s="209" t="str">
        <f>'[2]Other O&amp;M Expenses'!A4</f>
        <v>Twelve Months Ended December 31, 2016</v>
      </c>
      <c r="B4" s="209"/>
      <c r="C4" s="209"/>
      <c r="D4" s="209"/>
      <c r="E4" s="209"/>
      <c r="F4" s="209"/>
      <c r="G4" s="209"/>
      <c r="H4" s="209"/>
      <c r="I4" s="209"/>
      <c r="J4" s="220"/>
    </row>
    <row r="5" spans="1:10" s="213" customFormat="1">
      <c r="A5" s="209"/>
      <c r="B5" s="209"/>
      <c r="C5" s="209"/>
      <c r="D5" s="209"/>
      <c r="E5" s="209"/>
      <c r="F5" s="209"/>
      <c r="G5" s="209"/>
      <c r="H5" s="209"/>
      <c r="I5" s="209"/>
      <c r="J5" s="220"/>
    </row>
    <row r="7" spans="1:10" s="213" customFormat="1">
      <c r="A7" s="212"/>
      <c r="B7" s="212"/>
      <c r="C7" s="212"/>
      <c r="D7" s="212"/>
      <c r="E7" s="212"/>
      <c r="F7" s="212"/>
      <c r="G7" s="212"/>
      <c r="H7" s="221" t="s">
        <v>421</v>
      </c>
      <c r="I7" s="212"/>
      <c r="J7" s="222" t="s">
        <v>13</v>
      </c>
    </row>
    <row r="8" spans="1:10" s="213" customFormat="1">
      <c r="A8" s="223" t="s">
        <v>422</v>
      </c>
      <c r="B8" s="223"/>
      <c r="C8" s="223"/>
      <c r="D8" s="223"/>
      <c r="E8" s="223"/>
      <c r="F8" s="223"/>
      <c r="G8" s="212"/>
      <c r="H8" s="224" t="s">
        <v>423</v>
      </c>
      <c r="I8" s="212"/>
      <c r="J8" s="214" t="s">
        <v>424</v>
      </c>
    </row>
    <row r="9" spans="1:10" s="213" customFormat="1">
      <c r="A9" s="212"/>
      <c r="B9" s="212"/>
      <c r="C9" s="212"/>
      <c r="D9" s="212"/>
      <c r="E9" s="212"/>
      <c r="F9" s="212"/>
      <c r="G9" s="212"/>
      <c r="H9" s="212"/>
      <c r="I9" s="212"/>
      <c r="J9" s="212"/>
    </row>
    <row r="10" spans="1:10" s="213" customFormat="1">
      <c r="A10" s="212"/>
      <c r="B10" s="212"/>
      <c r="D10" s="212" t="s">
        <v>425</v>
      </c>
      <c r="E10" s="212" t="s">
        <v>426</v>
      </c>
      <c r="F10" s="212"/>
      <c r="G10" s="212"/>
      <c r="H10" s="225" t="s">
        <v>427</v>
      </c>
      <c r="I10" s="212"/>
    </row>
    <row r="11" spans="1:10" s="213" customFormat="1">
      <c r="A11" s="212"/>
      <c r="B11" s="212"/>
      <c r="C11" s="212"/>
      <c r="D11" s="212"/>
      <c r="E11" s="212"/>
      <c r="F11" s="212" t="s">
        <v>428</v>
      </c>
      <c r="G11" s="212"/>
      <c r="H11" s="212"/>
      <c r="I11" s="212"/>
      <c r="J11" s="226">
        <v>24932</v>
      </c>
    </row>
    <row r="12" spans="1:10" s="213" customFormat="1">
      <c r="A12" s="212"/>
      <c r="B12" s="212"/>
      <c r="C12" s="212"/>
      <c r="D12" s="212"/>
      <c r="E12" s="212"/>
      <c r="F12" s="212" t="s">
        <v>429</v>
      </c>
      <c r="G12" s="212"/>
      <c r="H12" s="212"/>
      <c r="I12" s="212"/>
      <c r="J12" s="213">
        <v>4791554</v>
      </c>
    </row>
    <row r="13" spans="1:10" s="213" customFormat="1">
      <c r="A13" s="212"/>
      <c r="B13" s="212"/>
      <c r="C13" s="212"/>
      <c r="D13" s="212"/>
      <c r="E13" s="212"/>
      <c r="F13" s="212" t="s">
        <v>430</v>
      </c>
      <c r="G13" s="212"/>
      <c r="H13" s="212"/>
      <c r="I13" s="212"/>
      <c r="J13" s="213">
        <v>6807</v>
      </c>
    </row>
    <row r="14" spans="1:10" s="213" customFormat="1">
      <c r="A14" s="212"/>
      <c r="B14" s="212"/>
      <c r="C14" s="212"/>
      <c r="D14" s="212"/>
      <c r="E14" s="212"/>
      <c r="F14" s="212" t="s">
        <v>431</v>
      </c>
      <c r="G14" s="212"/>
      <c r="H14" s="212"/>
      <c r="I14" s="212"/>
      <c r="J14" s="213">
        <v>729401</v>
      </c>
    </row>
    <row r="15" spans="1:10" s="213" customFormat="1">
      <c r="A15" s="212"/>
      <c r="B15" s="212"/>
      <c r="C15" s="212"/>
      <c r="D15" s="212"/>
      <c r="E15" s="212"/>
      <c r="F15" s="212"/>
      <c r="G15" s="212"/>
      <c r="H15" s="212"/>
      <c r="I15" s="212"/>
      <c r="J15" s="215">
        <f>SUM(J11:J14)</f>
        <v>5552694</v>
      </c>
    </row>
    <row r="16" spans="1:10" s="213" customFormat="1">
      <c r="A16" s="212"/>
      <c r="B16" s="212"/>
      <c r="C16" s="212"/>
      <c r="D16" s="212"/>
      <c r="E16" s="212"/>
      <c r="F16" s="212" t="s">
        <v>432</v>
      </c>
      <c r="G16" s="212"/>
      <c r="H16" s="212"/>
      <c r="I16" s="212"/>
      <c r="J16" s="212"/>
    </row>
    <row r="17" spans="1:10" s="213" customFormat="1">
      <c r="A17" s="212"/>
      <c r="B17" s="212"/>
      <c r="C17" s="212"/>
      <c r="D17" s="212"/>
      <c r="E17" s="212"/>
      <c r="F17" s="212" t="s">
        <v>433</v>
      </c>
      <c r="G17" s="212"/>
      <c r="H17" s="212"/>
      <c r="I17" s="212"/>
      <c r="J17" s="213">
        <f>J13</f>
        <v>6807</v>
      </c>
    </row>
    <row r="19" spans="1:10" s="213" customFormat="1">
      <c r="F19" s="213" t="s">
        <v>434</v>
      </c>
    </row>
    <row r="20" spans="1:10" s="213" customFormat="1">
      <c r="F20" s="212" t="s">
        <v>435</v>
      </c>
      <c r="J20" s="213">
        <v>243998</v>
      </c>
    </row>
    <row r="21" spans="1:10" s="213" customFormat="1">
      <c r="F21" s="212" t="s">
        <v>436</v>
      </c>
      <c r="J21" s="213">
        <v>12618929</v>
      </c>
    </row>
    <row r="22" spans="1:10" s="213" customFormat="1">
      <c r="F22" s="212" t="s">
        <v>437</v>
      </c>
      <c r="J22" s="219">
        <v>1570756.6488842727</v>
      </c>
    </row>
    <row r="23" spans="1:10" s="213" customFormat="1">
      <c r="F23" s="212" t="s">
        <v>438</v>
      </c>
      <c r="J23" s="219">
        <v>3954071.0110487542</v>
      </c>
    </row>
    <row r="24" spans="1:10">
      <c r="A24" s="213"/>
      <c r="B24" s="213"/>
      <c r="C24" s="213"/>
      <c r="D24" s="213"/>
      <c r="E24" s="213"/>
      <c r="F24" s="213"/>
      <c r="G24" s="213"/>
      <c r="H24" s="213"/>
      <c r="I24" s="213"/>
      <c r="J24" s="215">
        <f>SUM(J20:J23)</f>
        <v>18387754.659933027</v>
      </c>
    </row>
    <row r="25" spans="1:10" s="213" customFormat="1"/>
    <row r="26" spans="1:10" ht="13.5" thickBot="1">
      <c r="B26" s="216" t="s">
        <v>439</v>
      </c>
      <c r="C26" s="216" t="s">
        <v>440</v>
      </c>
      <c r="E26" s="212" t="s">
        <v>441</v>
      </c>
      <c r="J26" s="227">
        <f>J15-J17+J24</f>
        <v>23933641.659933027</v>
      </c>
    </row>
    <row r="27" spans="1:10" s="213" customFormat="1" ht="13.5" thickTop="1">
      <c r="A27" s="212"/>
      <c r="B27" s="212"/>
      <c r="C27" s="212"/>
      <c r="D27" s="212"/>
      <c r="E27" s="212"/>
      <c r="F27" s="212"/>
      <c r="G27" s="212"/>
      <c r="H27" s="212"/>
      <c r="I27" s="212"/>
      <c r="J27" s="228"/>
    </row>
    <row r="28" spans="1:10" s="213" customFormat="1">
      <c r="A28" s="212"/>
      <c r="B28" s="216" t="s">
        <v>439</v>
      </c>
      <c r="C28" s="216" t="s">
        <v>442</v>
      </c>
      <c r="D28" s="212" t="s">
        <v>443</v>
      </c>
      <c r="E28" s="212" t="s">
        <v>444</v>
      </c>
      <c r="F28" s="212"/>
      <c r="G28" s="212"/>
      <c r="H28" s="225" t="s">
        <v>427</v>
      </c>
      <c r="I28" s="212"/>
      <c r="J28" s="213">
        <f>'[2]MISO Revenues - 456.1'!B18</f>
        <v>5091666</v>
      </c>
    </row>
    <row r="29" spans="1:10">
      <c r="J29" s="228"/>
    </row>
    <row r="30" spans="1:10">
      <c r="B30" s="216" t="s">
        <v>439</v>
      </c>
      <c r="C30" s="216" t="s">
        <v>445</v>
      </c>
      <c r="D30" s="212" t="s">
        <v>446</v>
      </c>
      <c r="E30" s="212" t="s">
        <v>447</v>
      </c>
      <c r="J30" s="229">
        <f>J22</f>
        <v>1570756.6488842727</v>
      </c>
    </row>
    <row r="32" spans="1:10">
      <c r="B32" s="216" t="s">
        <v>439</v>
      </c>
      <c r="C32" s="216" t="s">
        <v>448</v>
      </c>
      <c r="D32" s="212" t="s">
        <v>449</v>
      </c>
      <c r="E32" s="212" t="s">
        <v>450</v>
      </c>
      <c r="J32" s="229">
        <f>J23</f>
        <v>3954071.0110487542</v>
      </c>
    </row>
    <row r="34" spans="1:10" ht="13.5" thickBot="1">
      <c r="A34" s="212" t="s">
        <v>451</v>
      </c>
      <c r="J34" s="217">
        <f>J26-J28-J30-J32</f>
        <v>13317147.999999998</v>
      </c>
    </row>
    <row r="35" spans="1:10" ht="13.5" thickTop="1"/>
    <row r="36" spans="1:10">
      <c r="A36" s="212" t="s">
        <v>452</v>
      </c>
    </row>
    <row r="37" spans="1:10">
      <c r="A37" s="212" t="s">
        <v>453</v>
      </c>
      <c r="B37" s="212" t="s">
        <v>454</v>
      </c>
    </row>
    <row r="38" spans="1:10">
      <c r="A38" s="212" t="s">
        <v>455</v>
      </c>
    </row>
  </sheetData>
  <printOptions horizontalCentered="1"/>
  <pageMargins left="0.17" right="0.17" top="1" bottom="0.31" header="0.3" footer="0.3"/>
  <pageSetup orientation="landscape" r:id="rId1"/>
  <headerFooter>
    <oddFooter>&amp;C&amp;F -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MDU Attachment O 2016 Actuals</vt:lpstr>
      <vt:lpstr>2016 True-Up</vt:lpstr>
      <vt:lpstr>Acct 456.1</vt:lpstr>
      <vt:lpstr>'2016 True-Up'!Print_Area</vt:lpstr>
      <vt:lpstr>'Acct 456.1'!Print_Area</vt:lpstr>
      <vt:lpstr>'MDU Attachment O 2016 Actuals'!Print_Area</vt:lpstr>
    </vt:vector>
  </TitlesOfParts>
  <Company>MDUR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Hahn</dc:creator>
  <cp:lastModifiedBy>Bosch, Stephanie</cp:lastModifiedBy>
  <cp:lastPrinted>2017-05-31T21:57:50Z</cp:lastPrinted>
  <dcterms:created xsi:type="dcterms:W3CDTF">2012-06-25T21:20:46Z</dcterms:created>
  <dcterms:modified xsi:type="dcterms:W3CDTF">2017-05-31T21:58:25Z</dcterms:modified>
</cp:coreProperties>
</file>