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580" tabRatio="839"/>
  </bookViews>
  <sheets>
    <sheet name="Cover Page" sheetId="1" r:id="rId1"/>
    <sheet name="True-Up" sheetId="32" r:id="rId2"/>
    <sheet name="Accounting Changes" sheetId="35" r:id="rId3"/>
    <sheet name="Attachment O" sheetId="33" r:id="rId4"/>
    <sheet name="12 Coincident Peaks" sheetId="7" r:id="rId5"/>
    <sheet name="Reconcile FF1 to Juris-Plt" sheetId="5" r:id="rId6"/>
    <sheet name="Plant in Service" sheetId="2" r:id="rId7"/>
    <sheet name="General Plant" sheetId="8" r:id="rId8"/>
    <sheet name="Reconcile FF1 to Comm Plt" sheetId="6" r:id="rId9"/>
    <sheet name="Common Plant" sheetId="9" r:id="rId10"/>
    <sheet name="Recon FF1 to Juris Acc Res" sheetId="13" r:id="rId11"/>
    <sheet name="Accumulated Reserve" sheetId="10" r:id="rId12"/>
    <sheet name="General Reserve" sheetId="12" r:id="rId13"/>
    <sheet name="Reconcile FF1 to Com Res" sheetId="14" r:id="rId14"/>
    <sheet name="Common Reserve" sheetId="11" r:id="rId15"/>
    <sheet name="CWIP 13 Month Balances" sheetId="29" r:id="rId16"/>
    <sheet name="Adj to RB - Reconcile to F1" sheetId="15" r:id="rId17"/>
    <sheet name="Avg Adjustments to RB" sheetId="16" r:id="rId18"/>
    <sheet name="Materials &amp; Supplies" sheetId="17" r:id="rId19"/>
    <sheet name="Prepayments" sheetId="18" r:id="rId20"/>
    <sheet name="Transmission O&amp;M" sheetId="19" r:id="rId21"/>
    <sheet name="A&amp;G" sheetId="21" r:id="rId22"/>
    <sheet name="Reg Com &amp; NonSafety Ad Exp" sheetId="22" r:id="rId23"/>
    <sheet name="Other O&amp;M Expenses" sheetId="23" r:id="rId24"/>
    <sheet name="Production Related Trans" sheetId="24" r:id="rId25"/>
    <sheet name="Wages &amp; Salary" sheetId="26" r:id="rId26"/>
    <sheet name="Common Plant Allocator" sheetId="27" r:id="rId27"/>
    <sheet name="Cap Structure 2014" sheetId="30" r:id="rId28"/>
    <sheet name="Acct 454" sheetId="31" r:id="rId29"/>
    <sheet name="Acct 456.1" sheetId="25" r:id="rId30"/>
    <sheet name="SIT Calculation" sheetId="28" r:id="rId31"/>
  </sheets>
  <externalReferences>
    <externalReference r:id="rId32"/>
  </externalReferences>
  <definedNames>
    <definedName name="_xlnm.Print_Area" localSheetId="21">'A&amp;G'!$A$1:$I$20</definedName>
    <definedName name="_xlnm.Print_Area" localSheetId="2">'Accounting Changes'!$A$1:$I$30</definedName>
    <definedName name="_xlnm.Print_Area" localSheetId="28">'Acct 454'!$A$1:$E$13</definedName>
    <definedName name="_xlnm.Print_Area" localSheetId="29">'Acct 456.1'!$A$1:$J$32</definedName>
    <definedName name="_xlnm.Print_Area" localSheetId="11">'Accumulated Reserve'!$A$1:$M$63</definedName>
    <definedName name="_xlnm.Print_Area" localSheetId="16">'Adj to RB - Reconcile to F1'!$A$1:$O$62</definedName>
    <definedName name="_xlnm.Print_Area" localSheetId="3">'Attachment O'!$A$1:$L$392</definedName>
    <definedName name="_xlnm.Print_Area" localSheetId="17">'Avg Adjustments to RB'!$A$1:$G$17</definedName>
    <definedName name="_xlnm.Print_Area" localSheetId="27">'Cap Structure 2014'!$A$1:$M$24</definedName>
    <definedName name="_xlnm.Print_Area" localSheetId="9">'Common Plant'!$A$1:$U$42</definedName>
    <definedName name="_xlnm.Print_Area" localSheetId="26">'Common Plant Allocator'!$A$1:$J$14</definedName>
    <definedName name="_xlnm.Print_Area" localSheetId="14">'Common Reserve'!$A$1:$S$42</definedName>
    <definedName name="_xlnm.Print_Area" localSheetId="0">'Cover Page'!$A$1:$I$35</definedName>
    <definedName name="_xlnm.Print_Area" localSheetId="15">'CWIP 13 Month Balances'!$A$1:$D$25</definedName>
    <definedName name="_xlnm.Print_Area" localSheetId="7">'General Plant'!$A$1:$G$39</definedName>
    <definedName name="_xlnm.Print_Area" localSheetId="12">'General Reserve'!$A$1:$H$38</definedName>
    <definedName name="_xlnm.Print_Area" localSheetId="18">'Materials &amp; Supplies'!$A$1:$J$38</definedName>
    <definedName name="_xlnm.Print_Area" localSheetId="23">'Other O&amp;M Expenses'!$A$1:$L$43</definedName>
    <definedName name="_xlnm.Print_Area" localSheetId="6">'Plant in Service'!$A$1:$M$63</definedName>
    <definedName name="_xlnm.Print_Area" localSheetId="19">Prepayments!$1:$22</definedName>
    <definedName name="_xlnm.Print_Area" localSheetId="24">'Production Related Trans'!$A$1:$C$57</definedName>
    <definedName name="_xlnm.Print_Area" localSheetId="10">'Recon FF1 to Juris Acc Res'!$A$1:$I$27</definedName>
    <definedName name="_xlnm.Print_Area" localSheetId="13">'Reconcile FF1 to Com Res'!$A$1:$O$26</definedName>
    <definedName name="_xlnm.Print_Area" localSheetId="8">'Reconcile FF1 to Comm Plt'!$A$1:$O$20</definedName>
    <definedName name="_xlnm.Print_Area" localSheetId="5">'Reconcile FF1 to Juris-Plt'!$A$1:$K$40</definedName>
    <definedName name="_xlnm.Print_Area" localSheetId="22">'Reg Com &amp; NonSafety Ad Exp'!$A$1:$D$41</definedName>
    <definedName name="_xlnm.Print_Area" localSheetId="30">'SIT Calculation'!$A$1:$O$30</definedName>
    <definedName name="_xlnm.Print_Area" localSheetId="20">'Transmission O&amp;M'!$A$1:$I$56</definedName>
    <definedName name="_xlnm.Print_Area" localSheetId="1">'True-Up'!$A$1:$E$32</definedName>
    <definedName name="_xlnm.Print_Area" localSheetId="25">'Wages &amp; Salary'!$A$1:$J$17</definedName>
    <definedName name="_xlnm.Print_Titles" localSheetId="11">'Accumulated Reserve'!$1:$6</definedName>
    <definedName name="_xlnm.Print_Titles" localSheetId="9">'Common Plant'!$1:$6</definedName>
    <definedName name="_xlnm.Print_Titles" localSheetId="14">'Common Reserve'!$1:$6</definedName>
    <definedName name="_xlnm.Print_Titles" localSheetId="7">'General Plant'!$1:$5</definedName>
    <definedName name="_xlnm.Print_Titles" localSheetId="12">'General Reserve'!$1:$5</definedName>
    <definedName name="_xlnm.Print_Titles" localSheetId="6">'Plant in Service'!$1:$6</definedName>
    <definedName name="_xlnm.Print_Titles" localSheetId="19">Prepayments!$A:$C,Prepayments!$1:$8</definedName>
    <definedName name="_xlnm.Print_Titles" localSheetId="24">'Production Related Trans'!$1:$6</definedName>
    <definedName name="_xlnm.Print_Titles" localSheetId="20">'Transmission O&amp;M'!$1:$6</definedName>
    <definedName name="Reconciliation" localSheetId="2">'[1]Reg Com &amp; NonSafety Ad Exp (8)'!#REF!</definedName>
    <definedName name="Reconciliation" localSheetId="11">'[1]Reg Com &amp; NonSafety Ad Exp (8)'!#REF!</definedName>
    <definedName name="Reconciliation" localSheetId="9">'[1]Reg Com &amp; NonSafety Ad Exp (8)'!#REF!</definedName>
    <definedName name="Reconciliation" localSheetId="14">'[1]Reg Com &amp; NonSafety Ad Exp (8)'!#REF!</definedName>
    <definedName name="Reconciliation" localSheetId="7">'[1]Reg Com &amp; NonSafety Ad Exp (8)'!#REF!</definedName>
    <definedName name="Reconciliation" localSheetId="12">'[1]Reg Com &amp; NonSafety Ad Exp (8)'!#REF!</definedName>
    <definedName name="Reconciliation" localSheetId="1">#REF!</definedName>
    <definedName name="Reconciliation">'[1]Reg Com &amp; NonSafety Ad Exp (8)'!#REF!</definedName>
    <definedName name="Workpaper" localSheetId="1">#REF!</definedName>
    <definedName name="Workpaper">'Reg Com &amp; NonSafety Ad Exp'!$A$1:$D$43</definedName>
  </definedNames>
  <calcPr calcId="145621"/>
</workbook>
</file>

<file path=xl/calcChain.xml><?xml version="1.0" encoding="utf-8"?>
<calcChain xmlns="http://schemas.openxmlformats.org/spreadsheetml/2006/main">
  <c r="E390" i="33" l="1"/>
  <c r="E392" i="33" s="1"/>
  <c r="J25" i="33" s="1"/>
  <c r="E320" i="33"/>
  <c r="J317" i="33"/>
  <c r="J310" i="33"/>
  <c r="J301" i="33"/>
  <c r="H291" i="33"/>
  <c r="H290" i="33"/>
  <c r="J285" i="33"/>
  <c r="J284" i="33"/>
  <c r="J287" i="33" s="1"/>
  <c r="E292" i="33" s="1"/>
  <c r="E293" i="33" s="1"/>
  <c r="J279" i="33"/>
  <c r="E276" i="33"/>
  <c r="H274" i="33" s="1"/>
  <c r="J272" i="33"/>
  <c r="E268" i="33"/>
  <c r="E269" i="33" s="1"/>
  <c r="H267" i="33"/>
  <c r="H265" i="33"/>
  <c r="J255" i="33"/>
  <c r="J246" i="33"/>
  <c r="E241" i="33"/>
  <c r="J238" i="33"/>
  <c r="J224" i="33"/>
  <c r="J220" i="33"/>
  <c r="E203" i="33"/>
  <c r="E207" i="33" s="1"/>
  <c r="E211" i="33" s="1"/>
  <c r="E199" i="33"/>
  <c r="G197" i="33"/>
  <c r="D197" i="33"/>
  <c r="G196" i="33"/>
  <c r="G193" i="33"/>
  <c r="D193" i="33"/>
  <c r="E188" i="33"/>
  <c r="C187" i="33"/>
  <c r="J185" i="33"/>
  <c r="C184" i="33"/>
  <c r="E181" i="33"/>
  <c r="J180" i="33"/>
  <c r="D179" i="33"/>
  <c r="G178" i="33"/>
  <c r="G177" i="33"/>
  <c r="G176" i="33"/>
  <c r="J173" i="33"/>
  <c r="E165" i="33"/>
  <c r="J162" i="33"/>
  <c r="E134" i="33"/>
  <c r="E131" i="33"/>
  <c r="G128" i="33"/>
  <c r="E126" i="33"/>
  <c r="J125" i="33"/>
  <c r="G122" i="33"/>
  <c r="J116" i="33"/>
  <c r="E112" i="33"/>
  <c r="E111" i="33"/>
  <c r="C111" i="33"/>
  <c r="E110" i="33"/>
  <c r="E109" i="33"/>
  <c r="E108" i="33"/>
  <c r="E105" i="33"/>
  <c r="G104" i="33"/>
  <c r="C104" i="33"/>
  <c r="C112" i="33" s="1"/>
  <c r="G103" i="33"/>
  <c r="C103" i="33"/>
  <c r="H102" i="33"/>
  <c r="G102" i="33"/>
  <c r="C102" i="33"/>
  <c r="C110" i="33" s="1"/>
  <c r="G101" i="33"/>
  <c r="C101" i="33"/>
  <c r="C109" i="33" s="1"/>
  <c r="H100" i="33"/>
  <c r="G100" i="33"/>
  <c r="G119" i="33" s="1"/>
  <c r="C100" i="33"/>
  <c r="C108" i="33" s="1"/>
  <c r="E97" i="33"/>
  <c r="E85" i="33"/>
  <c r="J82" i="33"/>
  <c r="J51" i="33"/>
  <c r="J50" i="33"/>
  <c r="J39" i="33"/>
  <c r="J24" i="33"/>
  <c r="G19" i="33"/>
  <c r="G18" i="33"/>
  <c r="G17" i="33"/>
  <c r="E17" i="33"/>
  <c r="E16" i="33"/>
  <c r="E14" i="32"/>
  <c r="E16" i="32" s="1"/>
  <c r="E20" i="32" s="1"/>
  <c r="E9" i="32"/>
  <c r="E19" i="32" s="1"/>
  <c r="F290" i="33" l="1"/>
  <c r="F292" i="33"/>
  <c r="J292" i="33" s="1"/>
  <c r="F291" i="33"/>
  <c r="J291" i="33" s="1"/>
  <c r="E113" i="33"/>
  <c r="E136" i="33" s="1"/>
  <c r="J257" i="33"/>
  <c r="J259" i="33" s="1"/>
  <c r="J290" i="33"/>
  <c r="J249" i="33"/>
  <c r="J251" i="33" s="1"/>
  <c r="H268" i="33"/>
  <c r="E21" i="32"/>
  <c r="J260" i="33" l="1"/>
  <c r="J261" i="33" s="1"/>
  <c r="F266" i="33"/>
  <c r="H266" i="33" s="1"/>
  <c r="H269" i="33" s="1"/>
  <c r="J269" i="33" s="1"/>
  <c r="H93" i="33"/>
  <c r="H16" i="33"/>
  <c r="J293" i="33"/>
  <c r="E25" i="32"/>
  <c r="E27" i="32" s="1"/>
  <c r="J16" i="33" l="1"/>
  <c r="H17" i="33"/>
  <c r="H101" i="33"/>
  <c r="J93" i="33"/>
  <c r="H95" i="33"/>
  <c r="J274" i="33"/>
  <c r="L274" i="33" s="1"/>
  <c r="H96" i="33" s="1"/>
  <c r="E214" i="33"/>
  <c r="E204" i="33"/>
  <c r="H172" i="33"/>
  <c r="H132" i="33"/>
  <c r="J132" i="33" s="1"/>
  <c r="E210" i="33" l="1"/>
  <c r="E212" i="33" s="1"/>
  <c r="E217" i="33" s="1"/>
  <c r="E225" i="33" s="1"/>
  <c r="J109" i="33"/>
  <c r="J101" i="33"/>
  <c r="H128" i="33"/>
  <c r="H174" i="33"/>
  <c r="J174" i="33" s="1"/>
  <c r="H178" i="33"/>
  <c r="J178" i="33" s="1"/>
  <c r="J172" i="33"/>
  <c r="H104" i="33"/>
  <c r="J96" i="33"/>
  <c r="H18" i="33"/>
  <c r="J17" i="33"/>
  <c r="H103" i="33"/>
  <c r="J95" i="33"/>
  <c r="J111" i="33" l="1"/>
  <c r="J97" i="33"/>
  <c r="H97" i="33" s="1"/>
  <c r="J103" i="33"/>
  <c r="H175" i="33"/>
  <c r="J104" i="33"/>
  <c r="J105" i="33" s="1"/>
  <c r="H179" i="33"/>
  <c r="H184" i="33"/>
  <c r="J184" i="33" s="1"/>
  <c r="J128" i="33"/>
  <c r="H19" i="33"/>
  <c r="J19" i="33" s="1"/>
  <c r="J18" i="33"/>
  <c r="J20" i="33" s="1"/>
  <c r="H187" i="33" l="1"/>
  <c r="J187" i="33" s="1"/>
  <c r="J179" i="33"/>
  <c r="H133" i="33"/>
  <c r="J133" i="33" s="1"/>
  <c r="H195" i="33"/>
  <c r="J112" i="33"/>
  <c r="J113" i="33" s="1"/>
  <c r="H113" i="33" s="1"/>
  <c r="H176" i="33"/>
  <c r="H186" i="33"/>
  <c r="J175" i="33"/>
  <c r="H197" i="33" l="1"/>
  <c r="J197" i="33" s="1"/>
  <c r="J195" i="33"/>
  <c r="H198" i="33"/>
  <c r="J198" i="33" s="1"/>
  <c r="J186" i="33"/>
  <c r="J188" i="33" s="1"/>
  <c r="H192" i="33"/>
  <c r="H177" i="33"/>
  <c r="J177" i="33" s="1"/>
  <c r="J176" i="33"/>
  <c r="J181" i="33" s="1"/>
  <c r="J131" i="33" s="1"/>
  <c r="J134" i="33" s="1"/>
  <c r="H211" i="33"/>
  <c r="J211" i="33" s="1"/>
  <c r="H120" i="33"/>
  <c r="H121" i="33" l="1"/>
  <c r="J120" i="33"/>
  <c r="H193" i="33"/>
  <c r="J193" i="33" s="1"/>
  <c r="J192" i="33"/>
  <c r="J199" i="33" s="1"/>
  <c r="J126" i="33" l="1"/>
  <c r="J136" i="33" s="1"/>
  <c r="J214" i="33" s="1"/>
  <c r="H123" i="33"/>
  <c r="J123" i="33" s="1"/>
  <c r="J121" i="33"/>
  <c r="H122" i="33"/>
  <c r="J122" i="33" s="1"/>
  <c r="J217" i="33" l="1"/>
  <c r="J225" i="33" s="1"/>
  <c r="J12" i="33" s="1"/>
  <c r="J28" i="33" s="1"/>
  <c r="E41" i="33" s="1"/>
  <c r="J210" i="33"/>
  <c r="J212" i="33" s="1"/>
  <c r="E48" i="33" l="1"/>
  <c r="E46" i="33"/>
  <c r="J47" i="33"/>
  <c r="E42" i="33"/>
  <c r="J48" i="33"/>
  <c r="E47" i="33"/>
  <c r="J46" i="33"/>
  <c r="K52" i="15" l="1"/>
  <c r="K47" i="15"/>
  <c r="K20" i="15"/>
  <c r="K15" i="15"/>
  <c r="G15" i="5" l="1"/>
  <c r="K15" i="5" s="1"/>
  <c r="G16" i="16" l="1"/>
  <c r="I22" i="2" l="1"/>
  <c r="E10" i="31" l="1"/>
  <c r="M22" i="30"/>
  <c r="K22" i="30"/>
  <c r="I22" i="30"/>
  <c r="G22" i="30"/>
  <c r="E20" i="30"/>
  <c r="C20" i="30"/>
  <c r="D23" i="29"/>
  <c r="D16" i="28"/>
  <c r="D15" i="28"/>
  <c r="D14" i="28"/>
  <c r="F12" i="27"/>
  <c r="J11" i="27"/>
  <c r="H16" i="26"/>
  <c r="F16" i="26"/>
  <c r="J15" i="26"/>
  <c r="J14" i="26"/>
  <c r="J13" i="26"/>
  <c r="J11" i="26"/>
  <c r="J10" i="26"/>
  <c r="J9" i="26"/>
  <c r="J17" i="25"/>
  <c r="J15" i="25"/>
  <c r="C54" i="24"/>
  <c r="C47" i="24"/>
  <c r="C41" i="24"/>
  <c r="C36" i="24"/>
  <c r="C30" i="24"/>
  <c r="C25" i="24"/>
  <c r="C57" i="24" l="1"/>
  <c r="D17" i="28"/>
  <c r="H29" i="28" s="1"/>
  <c r="H12" i="27"/>
  <c r="J16" i="26"/>
  <c r="J19" i="25"/>
  <c r="J27" i="25" s="1"/>
  <c r="J10" i="27"/>
  <c r="J12" i="27" s="1"/>
  <c r="A4" i="21" l="1"/>
  <c r="A4" i="22" s="1"/>
  <c r="L38" i="23"/>
  <c r="J36" i="23"/>
  <c r="J39" i="23" s="1"/>
  <c r="L35" i="23"/>
  <c r="L34" i="23"/>
  <c r="H33" i="23"/>
  <c r="H36" i="23" s="1"/>
  <c r="L28" i="23"/>
  <c r="L27" i="23"/>
  <c r="L25" i="23"/>
  <c r="H24" i="23"/>
  <c r="L24" i="23" s="1"/>
  <c r="L17" i="23"/>
  <c r="J14" i="23"/>
  <c r="H14" i="23"/>
  <c r="L13" i="23"/>
  <c r="L12" i="23"/>
  <c r="L10" i="23"/>
  <c r="D36" i="22"/>
  <c r="D25" i="22"/>
  <c r="D14" i="22"/>
  <c r="I20" i="21"/>
  <c r="G20" i="21"/>
  <c r="E19" i="21"/>
  <c r="E18" i="21"/>
  <c r="E17" i="21"/>
  <c r="E16" i="21"/>
  <c r="E15" i="21"/>
  <c r="E14" i="21"/>
  <c r="E13" i="21"/>
  <c r="E12" i="21"/>
  <c r="E11" i="21"/>
  <c r="E10" i="21"/>
  <c r="E9" i="21"/>
  <c r="A4" i="23" l="1"/>
  <c r="H39" i="23"/>
  <c r="L14" i="23"/>
  <c r="E20" i="21"/>
  <c r="L33" i="23"/>
  <c r="L36" i="23" s="1"/>
  <c r="L39" i="23" s="1"/>
  <c r="A4" i="25" l="1"/>
  <c r="A4" i="26" s="1"/>
  <c r="A4" i="27" s="1"/>
  <c r="A4" i="24"/>
  <c r="D38" i="22"/>
  <c r="D19" i="22" l="1"/>
  <c r="D27" i="22" s="1"/>
  <c r="O23" i="14" l="1"/>
  <c r="K23" i="14"/>
  <c r="G23" i="5" l="1"/>
  <c r="E51" i="19" l="1"/>
  <c r="C37" i="19"/>
  <c r="C36" i="19"/>
  <c r="C29" i="19"/>
  <c r="C28" i="19"/>
  <c r="I22" i="19"/>
  <c r="G22" i="19"/>
  <c r="E21" i="19"/>
  <c r="E20" i="19"/>
  <c r="E19" i="19"/>
  <c r="E18" i="19"/>
  <c r="E17" i="19"/>
  <c r="E16" i="19"/>
  <c r="E15" i="19"/>
  <c r="E14" i="19"/>
  <c r="E13" i="19"/>
  <c r="E29" i="19" s="1"/>
  <c r="E12" i="19"/>
  <c r="E28" i="19" s="1"/>
  <c r="E11" i="19"/>
  <c r="E37" i="19" s="1"/>
  <c r="E10" i="19"/>
  <c r="E36" i="19" s="1"/>
  <c r="E9" i="19"/>
  <c r="E22" i="19" l="1"/>
  <c r="E39" i="19"/>
  <c r="E43" i="19" s="1"/>
  <c r="E45" i="19" s="1"/>
  <c r="E53" i="19" s="1"/>
  <c r="E30" i="19"/>
  <c r="A5" i="18" l="1"/>
  <c r="P20" i="18"/>
  <c r="M20" i="18"/>
  <c r="L20" i="18"/>
  <c r="K20" i="18"/>
  <c r="J20" i="18"/>
  <c r="I20" i="18"/>
  <c r="H20" i="18"/>
  <c r="G20" i="18"/>
  <c r="B16" i="18"/>
  <c r="A16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O20" i="18" l="1"/>
  <c r="O22" i="18" s="1"/>
  <c r="H22" i="18"/>
  <c r="L22" i="18"/>
  <c r="P22" i="18"/>
  <c r="Q20" i="18"/>
  <c r="Q22" i="18" s="1"/>
  <c r="N20" i="18"/>
  <c r="N22" i="18" s="1"/>
  <c r="I22" i="18"/>
  <c r="M22" i="18"/>
  <c r="F20" i="18"/>
  <c r="F22" i="18" s="1"/>
  <c r="G22" i="18"/>
  <c r="K22" i="18"/>
  <c r="J22" i="18"/>
  <c r="R20" i="18"/>
  <c r="R22" i="18" s="1"/>
  <c r="D22" i="18" l="1"/>
  <c r="J23" i="17" l="1"/>
  <c r="H18" i="17" l="1"/>
  <c r="J17" i="17" s="1"/>
  <c r="H12" i="17"/>
  <c r="J14" i="17" l="1"/>
  <c r="J16" i="17"/>
  <c r="J25" i="17" s="1"/>
  <c r="J15" i="17"/>
  <c r="M49" i="15"/>
  <c r="G14" i="16"/>
  <c r="G12" i="16"/>
  <c r="G10" i="16"/>
  <c r="M59" i="15"/>
  <c r="O58" i="15"/>
  <c r="K57" i="15"/>
  <c r="O57" i="15" s="1"/>
  <c r="O59" i="15" s="1"/>
  <c r="O53" i="15"/>
  <c r="M54" i="15"/>
  <c r="O48" i="15"/>
  <c r="K44" i="15"/>
  <c r="O44" i="15" s="1"/>
  <c r="M27" i="15"/>
  <c r="O26" i="15"/>
  <c r="K25" i="15"/>
  <c r="K27" i="15" s="1"/>
  <c r="M22" i="15"/>
  <c r="O21" i="15"/>
  <c r="O20" i="15"/>
  <c r="M17" i="15"/>
  <c r="O16" i="15"/>
  <c r="K17" i="15"/>
  <c r="K12" i="15"/>
  <c r="O12" i="15" s="1"/>
  <c r="J30" i="17" l="1"/>
  <c r="J18" i="17"/>
  <c r="J31" i="17"/>
  <c r="J27" i="17"/>
  <c r="J28" i="17"/>
  <c r="J33" i="17"/>
  <c r="J34" i="17"/>
  <c r="J26" i="17"/>
  <c r="J29" i="17"/>
  <c r="J35" i="17"/>
  <c r="J32" i="17"/>
  <c r="J24" i="17"/>
  <c r="O15" i="15"/>
  <c r="O17" i="15" s="1"/>
  <c r="K22" i="15"/>
  <c r="K49" i="15"/>
  <c r="O22" i="15"/>
  <c r="K59" i="15"/>
  <c r="O52" i="15"/>
  <c r="O54" i="15" s="1"/>
  <c r="K54" i="15"/>
  <c r="O47" i="15"/>
  <c r="O49" i="15" s="1"/>
  <c r="O25" i="15"/>
  <c r="O27" i="15" s="1"/>
  <c r="M24" i="14"/>
  <c r="K24" i="14"/>
  <c r="I24" i="14"/>
  <c r="G24" i="14"/>
  <c r="E23" i="14"/>
  <c r="E22" i="14"/>
  <c r="O19" i="14"/>
  <c r="M19" i="14"/>
  <c r="K19" i="14"/>
  <c r="I19" i="14"/>
  <c r="G19" i="14"/>
  <c r="E18" i="14"/>
  <c r="E17" i="14"/>
  <c r="E15" i="14"/>
  <c r="E14" i="14"/>
  <c r="E12" i="14"/>
  <c r="E11" i="14"/>
  <c r="A5" i="13"/>
  <c r="A5" i="14" s="1"/>
  <c r="I16" i="13"/>
  <c r="I15" i="13"/>
  <c r="I14" i="13"/>
  <c r="I28" i="5" s="1"/>
  <c r="I13" i="13"/>
  <c r="I27" i="5" s="1"/>
  <c r="G12" i="13"/>
  <c r="G17" i="13" s="1"/>
  <c r="E12" i="13"/>
  <c r="E17" i="13" s="1"/>
  <c r="E19" i="13" s="1"/>
  <c r="I11" i="13"/>
  <c r="I25" i="5" s="1"/>
  <c r="I10" i="13"/>
  <c r="I24" i="5" s="1"/>
  <c r="G26" i="14" l="1"/>
  <c r="J36" i="17"/>
  <c r="E24" i="14"/>
  <c r="M26" i="14"/>
  <c r="K26" i="14"/>
  <c r="O24" i="14"/>
  <c r="O26" i="14" s="1"/>
  <c r="I26" i="14"/>
  <c r="E19" i="14"/>
  <c r="I12" i="13"/>
  <c r="I17" i="13" s="1"/>
  <c r="E26" i="14" l="1"/>
  <c r="G18" i="13" s="1"/>
  <c r="G19" i="13" l="1"/>
  <c r="I18" i="13"/>
  <c r="I19" i="13" l="1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1" i="12"/>
  <c r="G20" i="12"/>
  <c r="M20" i="10" s="1"/>
  <c r="G19" i="12"/>
  <c r="G18" i="12"/>
  <c r="G17" i="12"/>
  <c r="G16" i="12"/>
  <c r="G15" i="12"/>
  <c r="M15" i="10" s="1"/>
  <c r="G14" i="12"/>
  <c r="G13" i="12"/>
  <c r="G12" i="12"/>
  <c r="G11" i="12"/>
  <c r="G10" i="12"/>
  <c r="A10" i="12"/>
  <c r="A27" i="12" s="1"/>
  <c r="G9" i="12"/>
  <c r="A9" i="12"/>
  <c r="A26" i="12" s="1"/>
  <c r="A4" i="12"/>
  <c r="A2" i="12"/>
  <c r="M41" i="11"/>
  <c r="G41" i="11"/>
  <c r="M40" i="11"/>
  <c r="G40" i="11"/>
  <c r="M39" i="11"/>
  <c r="G39" i="11"/>
  <c r="M38" i="11"/>
  <c r="G38" i="11"/>
  <c r="M37" i="11"/>
  <c r="G37" i="11"/>
  <c r="M36" i="11"/>
  <c r="G36" i="11"/>
  <c r="M35" i="11"/>
  <c r="G35" i="11"/>
  <c r="M34" i="11"/>
  <c r="G34" i="11"/>
  <c r="M33" i="11"/>
  <c r="G33" i="11"/>
  <c r="M32" i="11"/>
  <c r="G32" i="11"/>
  <c r="M31" i="11"/>
  <c r="G31" i="11"/>
  <c r="M30" i="11"/>
  <c r="G30" i="11"/>
  <c r="M29" i="11"/>
  <c r="G29" i="11"/>
  <c r="G23" i="11"/>
  <c r="K23" i="11" s="1"/>
  <c r="G22" i="11"/>
  <c r="K22" i="11" s="1"/>
  <c r="G21" i="11"/>
  <c r="K21" i="11" s="1"/>
  <c r="G20" i="11"/>
  <c r="K20" i="11" s="1"/>
  <c r="G19" i="11"/>
  <c r="K19" i="11" s="1"/>
  <c r="G18" i="11"/>
  <c r="K18" i="11" s="1"/>
  <c r="G17" i="11"/>
  <c r="K17" i="11" s="1"/>
  <c r="G16" i="11"/>
  <c r="K16" i="11" s="1"/>
  <c r="G15" i="11"/>
  <c r="K15" i="11" s="1"/>
  <c r="G14" i="11"/>
  <c r="K14" i="11" s="1"/>
  <c r="G13" i="11"/>
  <c r="K13" i="11" s="1"/>
  <c r="G12" i="11"/>
  <c r="K12" i="11" s="1"/>
  <c r="A12" i="11"/>
  <c r="A30" i="11" s="1"/>
  <c r="G11" i="11"/>
  <c r="K11" i="11" s="1"/>
  <c r="A11" i="11"/>
  <c r="A29" i="11" s="1"/>
  <c r="A2" i="11"/>
  <c r="A4" i="10"/>
  <c r="A4" i="8"/>
  <c r="G40" i="10"/>
  <c r="E40" i="10"/>
  <c r="C40" i="10"/>
  <c r="M39" i="10"/>
  <c r="M35" i="10"/>
  <c r="M33" i="10"/>
  <c r="M32" i="10"/>
  <c r="M31" i="10"/>
  <c r="M28" i="10"/>
  <c r="M27" i="10"/>
  <c r="G22" i="10"/>
  <c r="E22" i="10"/>
  <c r="C22" i="10"/>
  <c r="M19" i="10"/>
  <c r="A2" i="10"/>
  <c r="M56" i="10" l="1"/>
  <c r="A4" i="9"/>
  <c r="A4" i="11"/>
  <c r="O31" i="11"/>
  <c r="S31" i="11" s="1"/>
  <c r="M12" i="10"/>
  <c r="M16" i="10"/>
  <c r="M57" i="10"/>
  <c r="O32" i="11"/>
  <c r="S32" i="11" s="1"/>
  <c r="O36" i="11"/>
  <c r="S36" i="11" s="1"/>
  <c r="O40" i="11"/>
  <c r="S40" i="11" s="1"/>
  <c r="O38" i="11"/>
  <c r="S38" i="11" s="1"/>
  <c r="O33" i="11"/>
  <c r="S33" i="11" s="1"/>
  <c r="O35" i="11"/>
  <c r="S35" i="11" s="1"/>
  <c r="O37" i="11"/>
  <c r="S37" i="11" s="1"/>
  <c r="O39" i="11"/>
  <c r="S39" i="11" s="1"/>
  <c r="O41" i="11"/>
  <c r="S41" i="11" s="1"/>
  <c r="O29" i="11"/>
  <c r="S29" i="11" s="1"/>
  <c r="O30" i="11"/>
  <c r="S30" i="11" s="1"/>
  <c r="O34" i="11"/>
  <c r="S34" i="11" s="1"/>
  <c r="G58" i="10"/>
  <c r="M47" i="10"/>
  <c r="M10" i="10"/>
  <c r="M14" i="10"/>
  <c r="M18" i="10"/>
  <c r="M29" i="10"/>
  <c r="M52" i="10"/>
  <c r="M36" i="10"/>
  <c r="M49" i="10"/>
  <c r="E58" i="10"/>
  <c r="M48" i="10"/>
  <c r="K22" i="10"/>
  <c r="M54" i="10"/>
  <c r="M11" i="10"/>
  <c r="M30" i="10"/>
  <c r="M34" i="10"/>
  <c r="M9" i="10"/>
  <c r="M13" i="10"/>
  <c r="M17" i="10"/>
  <c r="M21" i="10"/>
  <c r="I22" i="10"/>
  <c r="I40" i="10"/>
  <c r="M45" i="10"/>
  <c r="M46" i="10"/>
  <c r="M50" i="10"/>
  <c r="M38" i="10"/>
  <c r="C58" i="10"/>
  <c r="O40" i="9"/>
  <c r="O38" i="9"/>
  <c r="U21" i="9"/>
  <c r="U17" i="9"/>
  <c r="U13" i="9"/>
  <c r="U11" i="9"/>
  <c r="A11" i="9"/>
  <c r="A30" i="9" s="1"/>
  <c r="A10" i="9"/>
  <c r="A29" i="9" s="1"/>
  <c r="A2" i="9"/>
  <c r="M37" i="10" l="1"/>
  <c r="K40" i="10"/>
  <c r="M55" i="10"/>
  <c r="M53" i="10"/>
  <c r="U18" i="9"/>
  <c r="U22" i="9"/>
  <c r="U20" i="9"/>
  <c r="U19" i="9"/>
  <c r="U16" i="9"/>
  <c r="U15" i="9"/>
  <c r="U14" i="9"/>
  <c r="U12" i="9"/>
  <c r="U10" i="9"/>
  <c r="O36" i="9"/>
  <c r="O32" i="9"/>
  <c r="M51" i="10"/>
  <c r="M40" i="10"/>
  <c r="I58" i="10"/>
  <c r="M22" i="10"/>
  <c r="O31" i="9"/>
  <c r="O37" i="9"/>
  <c r="O41" i="9"/>
  <c r="O39" i="9"/>
  <c r="O35" i="9"/>
  <c r="O34" i="9"/>
  <c r="O33" i="9"/>
  <c r="O30" i="9"/>
  <c r="O29" i="9"/>
  <c r="A10" i="8"/>
  <c r="A27" i="8" s="1"/>
  <c r="A9" i="8"/>
  <c r="A26" i="8" s="1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1" i="8"/>
  <c r="M21" i="2" s="1"/>
  <c r="G20" i="8"/>
  <c r="M20" i="2" s="1"/>
  <c r="G19" i="8"/>
  <c r="G18" i="8"/>
  <c r="M18" i="2" s="1"/>
  <c r="G17" i="8"/>
  <c r="G16" i="8"/>
  <c r="M16" i="2" s="1"/>
  <c r="G15" i="8"/>
  <c r="G14" i="8"/>
  <c r="G13" i="8"/>
  <c r="G12" i="8"/>
  <c r="M12" i="2" s="1"/>
  <c r="G11" i="8"/>
  <c r="M11" i="2" s="1"/>
  <c r="G10" i="8"/>
  <c r="M10" i="2" s="1"/>
  <c r="G9" i="8"/>
  <c r="A2" i="8"/>
  <c r="D20" i="7"/>
  <c r="M58" i="10" l="1"/>
  <c r="K58" i="10"/>
  <c r="M17" i="2"/>
  <c r="M9" i="2"/>
  <c r="M19" i="2"/>
  <c r="M15" i="2"/>
  <c r="M14" i="2"/>
  <c r="M13" i="2"/>
  <c r="G14" i="6"/>
  <c r="G12" i="6"/>
  <c r="M22" i="2" l="1"/>
  <c r="G57" i="2"/>
  <c r="E57" i="2"/>
  <c r="C57" i="2"/>
  <c r="G56" i="2"/>
  <c r="E56" i="2"/>
  <c r="C56" i="2"/>
  <c r="G55" i="2"/>
  <c r="E55" i="2"/>
  <c r="C55" i="2"/>
  <c r="G54" i="2"/>
  <c r="E54" i="2"/>
  <c r="C54" i="2"/>
  <c r="G53" i="2"/>
  <c r="E53" i="2"/>
  <c r="C53" i="2"/>
  <c r="G52" i="2"/>
  <c r="E52" i="2"/>
  <c r="C52" i="2"/>
  <c r="G51" i="2"/>
  <c r="E51" i="2"/>
  <c r="C51" i="2"/>
  <c r="G50" i="2"/>
  <c r="E50" i="2"/>
  <c r="C50" i="2"/>
  <c r="G49" i="2"/>
  <c r="E49" i="2"/>
  <c r="C49" i="2"/>
  <c r="G48" i="2"/>
  <c r="E48" i="2"/>
  <c r="C48" i="2"/>
  <c r="G47" i="2"/>
  <c r="E47" i="2"/>
  <c r="C47" i="2"/>
  <c r="G46" i="2"/>
  <c r="E46" i="2"/>
  <c r="C46" i="2"/>
  <c r="G45" i="2"/>
  <c r="E45" i="2"/>
  <c r="C45" i="2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I50" i="2"/>
  <c r="K49" i="2"/>
  <c r="I49" i="2"/>
  <c r="K48" i="2"/>
  <c r="I48" i="2"/>
  <c r="K47" i="2"/>
  <c r="I47" i="2"/>
  <c r="K46" i="2"/>
  <c r="I46" i="2"/>
  <c r="K45" i="2"/>
  <c r="I45" i="2"/>
  <c r="M46" i="2" l="1"/>
  <c r="M48" i="2"/>
  <c r="M50" i="2"/>
  <c r="M52" i="2"/>
  <c r="M54" i="2"/>
  <c r="M56" i="2"/>
  <c r="E58" i="2"/>
  <c r="G58" i="2"/>
  <c r="M47" i="2"/>
  <c r="M51" i="2"/>
  <c r="M53" i="2"/>
  <c r="M49" i="2"/>
  <c r="M57" i="2"/>
  <c r="M55" i="2"/>
  <c r="I58" i="2"/>
  <c r="M45" i="2"/>
  <c r="K58" i="2"/>
  <c r="C58" i="2"/>
  <c r="E40" i="2"/>
  <c r="M37" i="2"/>
  <c r="M36" i="2"/>
  <c r="M35" i="2"/>
  <c r="M34" i="2"/>
  <c r="G40" i="2"/>
  <c r="A2" i="2"/>
  <c r="O19" i="6"/>
  <c r="M19" i="6"/>
  <c r="K19" i="6"/>
  <c r="I19" i="6"/>
  <c r="G19" i="6"/>
  <c r="E18" i="6"/>
  <c r="E17" i="6"/>
  <c r="E15" i="6"/>
  <c r="E14" i="6"/>
  <c r="E12" i="6"/>
  <c r="E11" i="6"/>
  <c r="K31" i="5"/>
  <c r="K30" i="5"/>
  <c r="K29" i="5"/>
  <c r="K28" i="5"/>
  <c r="K27" i="5"/>
  <c r="I26" i="5"/>
  <c r="G26" i="5"/>
  <c r="G32" i="5" s="1"/>
  <c r="K19" i="5"/>
  <c r="K18" i="5"/>
  <c r="K17" i="5"/>
  <c r="K16" i="5"/>
  <c r="I14" i="5"/>
  <c r="G14" i="5"/>
  <c r="G20" i="5" s="1"/>
  <c r="M58" i="2" l="1"/>
  <c r="M39" i="2"/>
  <c r="M38" i="2"/>
  <c r="C40" i="2"/>
  <c r="E19" i="6"/>
  <c r="I32" i="5"/>
  <c r="K14" i="5"/>
  <c r="K20" i="5" s="1"/>
  <c r="I20" i="5"/>
  <c r="K26" i="5"/>
  <c r="K32" i="5" l="1"/>
  <c r="M30" i="2" l="1"/>
  <c r="M28" i="2"/>
  <c r="K40" i="2"/>
  <c r="E22" i="2"/>
  <c r="M31" i="2" l="1"/>
  <c r="M33" i="2"/>
  <c r="M32" i="2"/>
  <c r="M27" i="2"/>
  <c r="M29" i="2"/>
  <c r="G22" i="2"/>
  <c r="C22" i="2"/>
  <c r="M40" i="2" l="1"/>
  <c r="I40" i="2"/>
  <c r="K22" i="2"/>
</calcChain>
</file>

<file path=xl/sharedStrings.xml><?xml version="1.0" encoding="utf-8"?>
<sst xmlns="http://schemas.openxmlformats.org/spreadsheetml/2006/main" count="1563" uniqueCount="792">
  <si>
    <t>Montana-Dakota Utilities Co.</t>
  </si>
  <si>
    <t>Attachment O</t>
  </si>
  <si>
    <t>Integrated</t>
  </si>
  <si>
    <t>General &amp;</t>
  </si>
  <si>
    <t>Common &amp;</t>
  </si>
  <si>
    <t>System</t>
  </si>
  <si>
    <t>Production</t>
  </si>
  <si>
    <t>Transmission</t>
  </si>
  <si>
    <t>Distribution</t>
  </si>
  <si>
    <t>Intangible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</si>
  <si>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</si>
  <si>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</si>
  <si>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</si>
  <si>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</si>
  <si>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</si>
  <si>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</si>
  <si>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</si>
  <si>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</si>
  <si>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</si>
  <si>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</si>
  <si>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</si>
  <si>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</si>
  <si>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Average</t>
  </si>
  <si>
    <t>MDU Electric</t>
  </si>
  <si>
    <t>General</t>
  </si>
  <si>
    <t>Common</t>
  </si>
  <si>
    <t>GPNG Gas</t>
  </si>
  <si>
    <t>Twelve Months Ended December 31, 2014</t>
  </si>
  <si>
    <t>December 2013</t>
  </si>
  <si>
    <t>Beginning</t>
  </si>
  <si>
    <t>Ending</t>
  </si>
  <si>
    <t>Balance</t>
  </si>
  <si>
    <t>January 2014</t>
  </si>
  <si>
    <t>MISO Attachment O Annual True-up</t>
  </si>
  <si>
    <t>Reconciliation of Form 1 to Jurisdictional Statements</t>
  </si>
  <si>
    <t>Form 1 Page,</t>
  </si>
  <si>
    <t>Form 1</t>
  </si>
  <si>
    <t>Jurisdictional</t>
  </si>
  <si>
    <t>Rate Base</t>
  </si>
  <si>
    <t>Line, Col.</t>
  </si>
  <si>
    <t>Ending Balance</t>
  </si>
  <si>
    <t>Adjustments</t>
  </si>
  <si>
    <t>Balance 2/</t>
  </si>
  <si>
    <t>Gross Plant in Service</t>
  </si>
  <si>
    <t>205.46.g</t>
  </si>
  <si>
    <t xml:space="preserve">    Steam Production</t>
  </si>
  <si>
    <t>205.15.g</t>
  </si>
  <si>
    <t>1/</t>
  </si>
  <si>
    <t xml:space="preserve">    Other Production</t>
  </si>
  <si>
    <t>205.44.g</t>
  </si>
  <si>
    <t>207.58.g</t>
  </si>
  <si>
    <t>207.75.g</t>
  </si>
  <si>
    <t>General &amp; Intangible</t>
  </si>
  <si>
    <t>205.5.g &amp;</t>
  </si>
  <si>
    <t>207.99.g</t>
  </si>
  <si>
    <t>Total Gross Plant</t>
  </si>
  <si>
    <t>Accumulated Depreciation</t>
  </si>
  <si>
    <t>219.20-24.c</t>
  </si>
  <si>
    <t>219.25.c</t>
  </si>
  <si>
    <t>219.26.c</t>
  </si>
  <si>
    <t xml:space="preserve">219.28.c &amp; </t>
  </si>
  <si>
    <t>200.21.c</t>
  </si>
  <si>
    <t>Total Accumulated Depreciation</t>
  </si>
  <si>
    <t>Reserve</t>
  </si>
  <si>
    <t>MISO Attachment O Annual True-Up</t>
  </si>
  <si>
    <t>North</t>
  </si>
  <si>
    <t>South</t>
  </si>
  <si>
    <t>Montana</t>
  </si>
  <si>
    <t>Dakota</t>
  </si>
  <si>
    <t>Wyoming</t>
  </si>
  <si>
    <t>GPNG</t>
  </si>
  <si>
    <t>Common Intangible</t>
  </si>
  <si>
    <t>MDU Gas</t>
  </si>
  <si>
    <t xml:space="preserve">Total MDU </t>
  </si>
  <si>
    <t>Plant in Service &amp; Accumulated Reserve</t>
  </si>
  <si>
    <t>Common Plant in Service by Utility by State</t>
  </si>
  <si>
    <t>Electric</t>
  </si>
  <si>
    <t>Twelve Coincident Peaks</t>
  </si>
  <si>
    <t>January</t>
  </si>
  <si>
    <t>Twelve Months Ended Decembe 31, 2014</t>
  </si>
  <si>
    <t>2/  Excluding Deferred AFUDC, Depreciation and Interest on Coyote (Montana) = $308,829</t>
  </si>
  <si>
    <t>Electric &amp; Gas</t>
  </si>
  <si>
    <t>Total Company - Electric</t>
  </si>
  <si>
    <t>Wyoming - Electric</t>
  </si>
  <si>
    <t>Plant in Service - Common</t>
  </si>
  <si>
    <t>Company</t>
  </si>
  <si>
    <t>Plant in Service - Electric</t>
  </si>
  <si>
    <t>Plant in Service - Electric General</t>
  </si>
  <si>
    <t>Wyoming - Gas</t>
  </si>
  <si>
    <t>Total Company - MDU Gas</t>
  </si>
  <si>
    <t>Total Company - GPNG Gas</t>
  </si>
  <si>
    <t>Total MDU</t>
  </si>
  <si>
    <t>Accumulated Reserve for Depreciation - Electric</t>
  </si>
  <si>
    <t>Thirteen Months Ended December 31, 2014</t>
  </si>
  <si>
    <t>Accumulated Reserve for Depreciation - Common</t>
  </si>
  <si>
    <t>Accumulated Reserve for Deprecation - Electric General</t>
  </si>
  <si>
    <t>MISO Attachment O Annual True Up</t>
  </si>
  <si>
    <t>Page, Line, Col.</t>
  </si>
  <si>
    <t>AROs  2/</t>
  </si>
  <si>
    <t>Steam Production</t>
  </si>
  <si>
    <t>219.20.c</t>
  </si>
  <si>
    <t>Other Production</t>
  </si>
  <si>
    <t>219.24.c</t>
  </si>
  <si>
    <t xml:space="preserve">   Production</t>
  </si>
  <si>
    <t>219.28.c</t>
  </si>
  <si>
    <t>General Intangible</t>
  </si>
  <si>
    <t>2/  AROs = difference between Form 1 balances and Jurisdictional balances.</t>
  </si>
  <si>
    <t>Accumulated Reserve for Depreciation by Function</t>
  </si>
  <si>
    <t>Twelve Months Ended December 31, 2013</t>
  </si>
  <si>
    <t>Exclude Work in Progress</t>
  </si>
  <si>
    <t>Gas</t>
  </si>
  <si>
    <t>Common Accumulated Reserve for Depreciation by Utility by State</t>
  </si>
  <si>
    <t>Reconciliation to Form 1 Balances</t>
  </si>
  <si>
    <t>MISO</t>
  </si>
  <si>
    <t>Subtotal</t>
  </si>
  <si>
    <t>Adjustments to Rate Base</t>
  </si>
  <si>
    <t>Account No. 281 (enter negative)</t>
  </si>
  <si>
    <t>273.8.k</t>
  </si>
  <si>
    <t>Account No. 282 (enter negative)</t>
  </si>
  <si>
    <t xml:space="preserve">    Acct 282</t>
  </si>
  <si>
    <t>275.2.k</t>
  </si>
  <si>
    <t xml:space="preserve">    FAS 109 for Acct 282</t>
  </si>
  <si>
    <t>Account No. 283 (enter negative)</t>
  </si>
  <si>
    <t xml:space="preserve">    Acct 283</t>
  </si>
  <si>
    <t>277.9.k</t>
  </si>
  <si>
    <t xml:space="preserve">    FAS 109 for Acct 283</t>
  </si>
  <si>
    <t>Account No. 190</t>
  </si>
  <si>
    <t xml:space="preserve">    Acct 190</t>
  </si>
  <si>
    <t>234.8.c</t>
  </si>
  <si>
    <t xml:space="preserve">    FAS 109 for Acct 190</t>
  </si>
  <si>
    <t>1/  Added AFUDC Equity - FAS 109 included in Other on Form 1 (Accts 282 and 283).</t>
  </si>
  <si>
    <t>Average</t>
  </si>
  <si>
    <t>Acct 282</t>
  </si>
  <si>
    <t>Acct 283</t>
  </si>
  <si>
    <t>Acct 190</t>
  </si>
  <si>
    <t>2013 - 2014</t>
  </si>
  <si>
    <t>Transmission Materials &amp; Supplies</t>
  </si>
  <si>
    <t>2013 Allocation Factors</t>
  </si>
  <si>
    <t>Form 1, Page 227, Line 12, Column c</t>
  </si>
  <si>
    <t xml:space="preserve">   Exclude Assigned to Other</t>
  </si>
  <si>
    <t>Transmission O&amp;M</t>
  </si>
  <si>
    <t>Allocated</t>
  </si>
  <si>
    <t>13 Month Average Balance</t>
  </si>
  <si>
    <t>December 2013 through December 2014</t>
  </si>
  <si>
    <t>2014 Allocation Factors</t>
  </si>
  <si>
    <t xml:space="preserve"> </t>
  </si>
  <si>
    <t>Prepayments</t>
  </si>
  <si>
    <t>Account</t>
  </si>
  <si>
    <t>13 Month Average</t>
  </si>
  <si>
    <t>Prepaid Insurance</t>
  </si>
  <si>
    <t>Purchased Power</t>
  </si>
  <si>
    <t>Gas Demand Charges</t>
  </si>
  <si>
    <t>Misc Prepaid</t>
  </si>
  <si>
    <t xml:space="preserve">Exclude:  </t>
  </si>
  <si>
    <t xml:space="preserve">    Prepaid Commodity Charges</t>
  </si>
  <si>
    <t>Wyoming Electric</t>
  </si>
  <si>
    <t>Total Prepayments</t>
  </si>
  <si>
    <t>Working Capital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</si>
  <si>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</si>
  <si>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</si>
  <si>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</si>
  <si>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</si>
  <si>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</si>
  <si>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</si>
  <si>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</si>
  <si>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</si>
  <si>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</si>
  <si>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</si>
  <si>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</si>
  <si>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Total Company</t>
  </si>
  <si>
    <t>MDU Electric and Gas, GPNG - Gas</t>
  </si>
  <si>
    <t>FERC</t>
  </si>
  <si>
    <t>Account Description</t>
  </si>
  <si>
    <t>Operation Supervision and Engineering</t>
  </si>
  <si>
    <t>Load Dispatch - Reliability</t>
  </si>
  <si>
    <t>Load Dispatch - Monitor &amp; Operate Transmission System</t>
  </si>
  <si>
    <t>Scheduling, System Control &amp; Dispatch Services</t>
  </si>
  <si>
    <t>Reliability, Planning and Standards Development Services</t>
  </si>
  <si>
    <t>Station Expenses</t>
  </si>
  <si>
    <t>Overhead Lines Expenses</t>
  </si>
  <si>
    <t>Transmission of Electricity by Others</t>
  </si>
  <si>
    <t>Misc Transmission Expense</t>
  </si>
  <si>
    <t>Rents</t>
  </si>
  <si>
    <t>Maintenance Supervision &amp; Engineering</t>
  </si>
  <si>
    <t>Maintenance of Structures</t>
  </si>
  <si>
    <t>Maintenance of Station Equipment</t>
  </si>
  <si>
    <t>Page 3 Line 1a (LSE Expenses incl. in Transmission O&amp;M Accts)</t>
  </si>
  <si>
    <t>Note V Exlusions from Transmission Expenses:</t>
  </si>
  <si>
    <t>Account 561.4</t>
  </si>
  <si>
    <t>Account 561.8</t>
  </si>
  <si>
    <t>Transmission Expenses</t>
  </si>
  <si>
    <t>Page 4 Line 7 Transmission Expenses included IN OATT</t>
  </si>
  <si>
    <t>Ancillary Services (Note L)</t>
  </si>
  <si>
    <t>Account 561.1</t>
  </si>
  <si>
    <t>Account 561.2</t>
  </si>
  <si>
    <t>Load Dispatch - Transmission Service &amp; Scheduleing</t>
  </si>
  <si>
    <t>Account 561.3</t>
  </si>
  <si>
    <t>Acct 561.1 - 561.3, 561.BA included in Line 7</t>
  </si>
  <si>
    <t>Acct 561.BA for Schedule 24</t>
  </si>
  <si>
    <t>Account 561.BA</t>
  </si>
  <si>
    <t>Acct 561.1 - 561.3 available for Schedule 1</t>
  </si>
  <si>
    <t>Revenue Credits for Sched 1 Acct 561.1 - 561.3</t>
  </si>
  <si>
    <t xml:space="preserve">    transactions &lt;1 yr</t>
  </si>
  <si>
    <t xml:space="preserve">    non-firm</t>
  </si>
  <si>
    <t xml:space="preserve">    transactions w/ load not in divisor</t>
  </si>
  <si>
    <t xml:space="preserve">  Total Revenue Credits</t>
  </si>
  <si>
    <t>Net Schedule 1 Expenses (Acct 561.1-561.3 minus Credits)</t>
  </si>
  <si>
    <t>Tranmission O&amp;M Expense</t>
  </si>
  <si>
    <t>T</t>
  </si>
  <si>
    <t>Balances</t>
  </si>
  <si>
    <t>1/  Excludes acquisition adjustment = $10,387,642.</t>
  </si>
  <si>
    <t>Utility</t>
  </si>
  <si>
    <t xml:space="preserve">1/  Exclude Asset Retirement Costs per Note AA, page 5 of Attachment O.  </t>
  </si>
  <si>
    <t>RWIP</t>
  </si>
  <si>
    <t>Less:</t>
  </si>
  <si>
    <t>Total Accum.</t>
  </si>
  <si>
    <t>Total Wyoming</t>
  </si>
  <si>
    <t>Average Balance</t>
  </si>
  <si>
    <t>Production O&amp;M (Line 7)</t>
  </si>
  <si>
    <t>Transmission O&amp;M (Line 8)</t>
  </si>
  <si>
    <t>Distribution O&amp;M (Line 9)</t>
  </si>
  <si>
    <t>December 2012/2013</t>
  </si>
  <si>
    <t>January 2013/2014</t>
  </si>
  <si>
    <t>Materials &amp; Supplies</t>
  </si>
  <si>
    <t>Administrative &amp; General Salaries</t>
  </si>
  <si>
    <t>Office Supplies &amp; Expenses</t>
  </si>
  <si>
    <t>Outside Services Employed</t>
  </si>
  <si>
    <t>Property Insurance</t>
  </si>
  <si>
    <t>Injuries &amp; Damages</t>
  </si>
  <si>
    <t>Employee Pensions &amp; Benefits</t>
  </si>
  <si>
    <t>Regulatory Commission Expenses</t>
  </si>
  <si>
    <t>General Advertising Expenses</t>
  </si>
  <si>
    <t>Miscellaneous General Expenses</t>
  </si>
  <si>
    <t>Regulatory Commission Expenses &amp; Non-Safety Ad.</t>
  </si>
  <si>
    <t>Regulatory Commission</t>
  </si>
  <si>
    <t>Expense - Electric Utility  1/</t>
  </si>
  <si>
    <t>North Dakota</t>
  </si>
  <si>
    <t>South Dakota</t>
  </si>
  <si>
    <t>Exclude:</t>
  </si>
  <si>
    <t>Total Regulatory Commission Expense</t>
  </si>
  <si>
    <t>O&amp;M A&amp;G General</t>
  </si>
  <si>
    <t>Less:  Wyoming</t>
  </si>
  <si>
    <t>Total Integrated System</t>
  </si>
  <si>
    <t>1/  FERC Form 1 page 351, column h for current charges.</t>
  </si>
  <si>
    <t xml:space="preserve">2/ </t>
  </si>
  <si>
    <t xml:space="preserve">    FERC Annual Fees 4/</t>
  </si>
  <si>
    <t xml:space="preserve">    MISO Schedule 11</t>
  </si>
  <si>
    <t>4/</t>
  </si>
  <si>
    <t>FERC Annual Fees, Note BB (MISO Schedule 10)</t>
  </si>
  <si>
    <t>FERC Annual Fees paid by Montana-Dakota for transmission</t>
  </si>
  <si>
    <t>outside of MISO.</t>
  </si>
  <si>
    <t>Form 1 Page</t>
  </si>
  <si>
    <t>Depreciation Expense</t>
  </si>
  <si>
    <t>336.7.b</t>
  </si>
  <si>
    <t>336.10.f</t>
  </si>
  <si>
    <t>336.1.f</t>
  </si>
  <si>
    <t>336.11.b</t>
  </si>
  <si>
    <t xml:space="preserve">Taxes Other than Income </t>
  </si>
  <si>
    <t>Labor Related</t>
  </si>
  <si>
    <t>Payroll</t>
  </si>
  <si>
    <t>Unemployment</t>
  </si>
  <si>
    <t>263.i</t>
  </si>
  <si>
    <t>Federal - FICA</t>
  </si>
  <si>
    <t>Highway &amp; vehicle</t>
  </si>
  <si>
    <t>Plant Related</t>
  </si>
  <si>
    <t>Property</t>
  </si>
  <si>
    <t>Gross Receipts</t>
  </si>
  <si>
    <t>Other</t>
  </si>
  <si>
    <t>MT Electric</t>
  </si>
  <si>
    <t xml:space="preserve">   MT WET Tax</t>
  </si>
  <si>
    <t xml:space="preserve">   MT Electric License</t>
  </si>
  <si>
    <t>ND Coal Conversion</t>
  </si>
  <si>
    <t>Secretaries of State</t>
  </si>
  <si>
    <t>Payment in lieu of taxes</t>
  </si>
  <si>
    <t>Franchise Fees</t>
  </si>
  <si>
    <t xml:space="preserve">  Total</t>
  </si>
  <si>
    <t>Administrative &amp; General Expenses</t>
  </si>
  <si>
    <t>Depreciation Expense &amp; Other Taxes</t>
  </si>
  <si>
    <t>Production-Related Plant Removed from Transmission</t>
  </si>
  <si>
    <t>Facility  1/</t>
  </si>
  <si>
    <t>Glendive Turbine Junction</t>
  </si>
  <si>
    <t>Transmission Function FERC 353</t>
  </si>
  <si>
    <t>Heskett Station</t>
  </si>
  <si>
    <t>Miles City Turbine</t>
  </si>
  <si>
    <t>Lewis &amp; Clark Switchyard</t>
  </si>
  <si>
    <t>Coyote Aux. Power 115KV Tap Line</t>
  </si>
  <si>
    <t>Towers &amp; Fixtures Function FERC 3540</t>
  </si>
  <si>
    <t>Transmission Function FERC 355</t>
  </si>
  <si>
    <t>Overhead Conductor &amp; Device Function FERC 3560</t>
  </si>
  <si>
    <t>Big Stone Plant Intake Line</t>
  </si>
  <si>
    <t>Coyote Surge Pond Line</t>
  </si>
  <si>
    <t>Land Rights Function FERC 3502</t>
  </si>
  <si>
    <t xml:space="preserve">                    </t>
  </si>
  <si>
    <t>Diamond Willow Substation</t>
  </si>
  <si>
    <t>Transmission Function FERC 3501</t>
  </si>
  <si>
    <t>Cedar Hills Substation</t>
  </si>
  <si>
    <t>Transmission Function FERC 3502</t>
  </si>
  <si>
    <t>Ormat Transmission Line</t>
  </si>
  <si>
    <t>Transmission Function FERC 353 to Power Production</t>
  </si>
  <si>
    <t>Acct 456.1 Transmission of Electricity for Others</t>
  </si>
  <si>
    <t>Revenues</t>
  </si>
  <si>
    <t>a.</t>
  </si>
  <si>
    <t>Transmission charges for all transmission transactions</t>
  </si>
  <si>
    <t>330.x.n</t>
  </si>
  <si>
    <t>WAPA</t>
  </si>
  <si>
    <t>Basin Electric Cooperative</t>
  </si>
  <si>
    <t>Powder River Energy Corp</t>
  </si>
  <si>
    <t xml:space="preserve">      Powder River Energy Corp  1/</t>
  </si>
  <si>
    <t xml:space="preserve">  Total included in Line 35, Page 4 of Attachment O</t>
  </si>
  <si>
    <t>b.</t>
  </si>
  <si>
    <t>Transmission charges for all transmission transactions included in Divisor 1 on Page 1</t>
  </si>
  <si>
    <t>c.</t>
  </si>
  <si>
    <t>Transmission charges from Schedules associated with Attachment GG (Note X)   2/</t>
  </si>
  <si>
    <t>d.</t>
  </si>
  <si>
    <t>Transmission charges from Schedules associated with Attachment MM  (Note Z)  2/</t>
  </si>
  <si>
    <t>Total of (a) - (b) - (c) - (d)</t>
  </si>
  <si>
    <t>1/  Applicable to Wyoming.</t>
  </si>
  <si>
    <t>2/  Revenue from Attachments GG and MM are not included in Account 456.1.</t>
  </si>
  <si>
    <t>X</t>
  </si>
  <si>
    <t>Y</t>
  </si>
  <si>
    <t>Page #, Line #</t>
  </si>
  <si>
    <t>FERC Form1</t>
  </si>
  <si>
    <t>354.20.b</t>
  </si>
  <si>
    <t>354.21.b</t>
  </si>
  <si>
    <t>354.23.b</t>
  </si>
  <si>
    <t>Customer Accounts</t>
  </si>
  <si>
    <t>354.24.b</t>
  </si>
  <si>
    <t>Customer Service</t>
  </si>
  <si>
    <t>354.25.b</t>
  </si>
  <si>
    <t>Sales</t>
  </si>
  <si>
    <t>354.26.b</t>
  </si>
  <si>
    <t>Plant - Classified</t>
  </si>
  <si>
    <t>200.3.c</t>
  </si>
  <si>
    <t>201.3.d</t>
  </si>
  <si>
    <t>MISO Attchment O</t>
  </si>
  <si>
    <t>SIT Calculation</t>
  </si>
  <si>
    <t>Supporting Workpaper</t>
  </si>
  <si>
    <t>Page 5 Note K - Federal and State Income Tax Rates</t>
  </si>
  <si>
    <t>Calculation of Composite State  Rate.</t>
  </si>
  <si>
    <t>State Tax Rate</t>
  </si>
  <si>
    <t>Allocation %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</si>
  <si>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</si>
  <si>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</si>
  <si>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</si>
  <si>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</si>
  <si>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</si>
  <si>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</si>
  <si>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</si>
  <si>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SIT work papers if required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</si>
  <si>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</si>
  <si>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</si>
  <si>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</si>
  <si>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</si>
  <si>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</si>
  <si>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</si>
  <si>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Thirteen Month Average Balances</t>
  </si>
  <si>
    <t>CWIP - Attachment MM</t>
  </si>
  <si>
    <t>Capital Structure</t>
  </si>
  <si>
    <t>Long Term</t>
  </si>
  <si>
    <t>Preferred</t>
  </si>
  <si>
    <t>Proprietary</t>
  </si>
  <si>
    <t>Interest*</t>
  </si>
  <si>
    <t>Dividends</t>
  </si>
  <si>
    <t>Capital</t>
  </si>
  <si>
    <t>Debt</t>
  </si>
  <si>
    <t>Stock</t>
  </si>
  <si>
    <t>13 Month Avg.</t>
  </si>
  <si>
    <t>*Long term interest includes commitment fees</t>
  </si>
  <si>
    <t>Joint Use Agreements</t>
  </si>
  <si>
    <t>Integrated System</t>
  </si>
  <si>
    <t>Other Electric Revenues Account 456.1</t>
  </si>
  <si>
    <t>Line 35</t>
  </si>
  <si>
    <t>Line 36</t>
  </si>
  <si>
    <t>Line 36a</t>
  </si>
  <si>
    <t>Line 36b</t>
  </si>
  <si>
    <t>Page 4</t>
  </si>
  <si>
    <t>Summary of Account 4540.008 Joint Use Facilities</t>
  </si>
  <si>
    <t>Wages &amp; Salary</t>
  </si>
  <si>
    <t>Common Plant Allocator</t>
  </si>
  <si>
    <t>MTEP Project ID 2220</t>
  </si>
  <si>
    <t>2014 Update</t>
  </si>
  <si>
    <t>2014</t>
  </si>
  <si>
    <t>Total 2014</t>
  </si>
  <si>
    <t>Production 1/</t>
  </si>
  <si>
    <t>1/  Excludes deferred AFUDC, depreciation and interest on Coyote and acquisition adjustment.</t>
  </si>
  <si>
    <t xml:space="preserve">1/  Excludes acquisition adjustment. </t>
  </si>
  <si>
    <t>Total MDU Common</t>
  </si>
  <si>
    <t>Misc Prepaid - Gas:</t>
  </si>
  <si>
    <t>FERC Fees are included in the Regulatory Commission</t>
  </si>
  <si>
    <t xml:space="preserve"> Expenses shown on FERC Form 1, page 351.</t>
  </si>
  <si>
    <t xml:space="preserve">       Total FERC Fees</t>
  </si>
  <si>
    <t xml:space="preserve">           exclude Wyoming</t>
  </si>
  <si>
    <t xml:space="preserve">       FERC Fees  2/</t>
  </si>
  <si>
    <t>Advertising Total Company</t>
  </si>
  <si>
    <t xml:space="preserve">    FERC Annual Fees 3/</t>
  </si>
  <si>
    <t>3/</t>
  </si>
  <si>
    <t>Schedule 1 Recoverable Expenses</t>
  </si>
  <si>
    <t>Acct 255</t>
  </si>
  <si>
    <t>Adjusted</t>
  </si>
  <si>
    <t>Transmission 2/</t>
  </si>
  <si>
    <t>Intangible  3/</t>
  </si>
  <si>
    <t>3/  Gas includes MDU and Great Plains Common Plant.</t>
  </si>
  <si>
    <t xml:space="preserve">2/  Adjusted to exclude $1 million in transmission plant related to asset transfer in January 2014, but not yet removed from </t>
  </si>
  <si>
    <t xml:space="preserve">     balances.</t>
  </si>
  <si>
    <t xml:space="preserve">     from balances.</t>
  </si>
  <si>
    <t>3/  Adjusted to exclude $1 million in transmission plant related to asset transfer in January 2014, but not yet removed</t>
  </si>
  <si>
    <t xml:space="preserve">2/  Adjusted to exclude accumulated reserved of transmission plant related to asset transfer in January 2014, but not yet </t>
  </si>
  <si>
    <t xml:space="preserve">     removed from balances.</t>
  </si>
  <si>
    <t xml:space="preserve">3/  Adjusted to exclude accumulated reserved of transmission plant related to asset transfer </t>
  </si>
  <si>
    <t xml:space="preserve">     in January 2014, but not yet removed from balances.</t>
  </si>
  <si>
    <t>1/  Adjusted to exclude depreciation expense associated with the asset transfer of transmission</t>
  </si>
  <si>
    <t>plant in January 2014, but not yet removed from balances.</t>
  </si>
  <si>
    <t>4/  Adjusted to exclude accumulated depreciation associated with asset transfer noted in 3/.</t>
  </si>
  <si>
    <t>Construction (Line 5)</t>
  </si>
  <si>
    <t>Total Acct 154 (Materials &amp; Supplies)</t>
  </si>
  <si>
    <t>MISO Attachment O True-Up</t>
  </si>
  <si>
    <t>Annual Transmission Revenue Requirement (ATRR) True-Up</t>
  </si>
  <si>
    <t>Historic Year Actual ATRR</t>
  </si>
  <si>
    <t>Historic Year Projected ATRR</t>
  </si>
  <si>
    <t xml:space="preserve">    Overrecovery of Revenue Requirement</t>
  </si>
  <si>
    <t>Footnote FF:  Calculation of Prior Year Divisor True-Up</t>
  </si>
  <si>
    <t>Historic Year Actual Divisor</t>
  </si>
  <si>
    <t>Projected Year Divisor</t>
  </si>
  <si>
    <t>Difference between Historic Year &amp; Project Yr Divisor</t>
  </si>
  <si>
    <t>Prior Year Projected Annual Cost ($ per kw per yr.)</t>
  </si>
  <si>
    <t>Underrecovery of Divisor</t>
  </si>
  <si>
    <t>ATRR True-Up</t>
  </si>
  <si>
    <t>Divisor True-Up</t>
  </si>
  <si>
    <t>Interest on Historic Year True-Up   1/</t>
  </si>
  <si>
    <t>Average Monthly FERC Interest Rate on Refunds</t>
  </si>
  <si>
    <t>Interest for 24 Months</t>
  </si>
  <si>
    <t>Total True-Up  2/</t>
  </si>
  <si>
    <t>1/  Average FERC refund interest rate through June 2015.</t>
  </si>
  <si>
    <t>2/  True-up to be included in Projected 2016 Attachment O's Revenue Requirement.</t>
  </si>
  <si>
    <t>page 1 of 5</t>
  </si>
  <si>
    <t xml:space="preserve">Formula Rate - Non-Levelized </t>
  </si>
  <si>
    <t xml:space="preserve">     Rate Formula Template</t>
  </si>
  <si>
    <t>For the 12 months ended 12/31/14</t>
  </si>
  <si>
    <t xml:space="preserve"> Utilizing FERC Form 1 Data</t>
  </si>
  <si>
    <t>Line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</si>
  <si>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</si>
  <si>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</si>
  <si>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</si>
  <si>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</si>
  <si>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</si>
  <si>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</si>
  <si>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</si>
  <si>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</si>
  <si>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</si>
  <si>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</si>
  <si>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</si>
  <si>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</si>
  <si>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</si>
  <si>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</si>
  <si>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</si>
  <si>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</si>
  <si>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</si>
  <si>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</si>
  <si>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</si>
  <si>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</si>
  <si>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</si>
  <si>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</si>
  <si>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</si>
  <si>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</si>
  <si>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</si>
  <si>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</si>
  <si>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</si>
  <si>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</si>
  <si>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</si>
  <si>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</si>
  <si>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</si>
  <si>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</si>
  <si>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</si>
  <si>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</si>
  <si>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</si>
  <si>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</si>
  <si>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</si>
  <si>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</si>
  <si>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</si>
  <si>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</si>
  <si>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</si>
  <si>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</si>
  <si>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</si>
  <si>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</si>
  <si>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</si>
  <si>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</si>
  <si>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</si>
  <si>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</si>
  <si>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</si>
  <si>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</si>
  <si>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</si>
  <si>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</si>
  <si>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</si>
  <si>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</si>
  <si>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</si>
  <si>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</si>
  <si>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</si>
  <si>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Short Term</t>
  </si>
  <si>
    <t>page 2 of 5</t>
  </si>
  <si>
    <t>(1)</t>
  </si>
  <si>
    <t>(2)</t>
  </si>
  <si>
    <t>(3)</t>
  </si>
  <si>
    <t>(4)</t>
  </si>
  <si>
    <t>(5)</t>
  </si>
  <si>
    <t>Form No. 1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</si>
  <si>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</si>
  <si>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</si>
  <si>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</si>
  <si>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</si>
  <si>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</si>
  <si>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</si>
  <si>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</si>
  <si>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</si>
  <si>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</si>
  <si>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</si>
  <si>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</si>
  <si>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</si>
  <si>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</si>
  <si>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</si>
  <si>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</si>
  <si>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</si>
  <si>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</si>
  <si>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</si>
  <si>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</si>
  <si>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</si>
  <si>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</si>
  <si>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</si>
  <si>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</si>
  <si>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</si>
  <si>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</si>
  <si>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</si>
  <si>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</si>
  <si>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</si>
  <si>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</si>
  <si>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</si>
  <si>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</si>
  <si>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</si>
  <si>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</si>
  <si>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</si>
  <si>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</si>
  <si>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</si>
  <si>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</si>
  <si>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</si>
  <si>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</si>
  <si>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190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</si>
  <si>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</si>
  <si>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</si>
  <si>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</si>
  <si>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</si>
  <si>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</si>
  <si>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</si>
  <si>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</si>
  <si>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</si>
  <si>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</si>
  <si>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</si>
  <si>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</si>
  <si>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</si>
  <si>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</si>
  <si>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</si>
  <si>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</si>
  <si>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</si>
  <si>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</si>
  <si>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</si>
  <si>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</si>
  <si>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</si>
  <si>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</si>
  <si>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</si>
  <si>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</si>
  <si>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</si>
  <si>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</si>
  <si>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</si>
  <si>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</si>
  <si>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</si>
  <si>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</si>
  <si>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</si>
  <si>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</si>
  <si>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</si>
  <si>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</si>
  <si>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</si>
  <si>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</si>
  <si>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</si>
  <si>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</si>
  <si>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</si>
  <si>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9a</t>
  </si>
  <si>
    <t xml:space="preserve">  Abandoned Plant Amortization</t>
  </si>
  <si>
    <t>(Note CC)</t>
  </si>
  <si>
    <t>336.10.f &amp; 336.1.f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</si>
  <si>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</si>
  <si>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</si>
  <si>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</si>
  <si>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</si>
  <si>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</si>
  <si>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</si>
  <si>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</si>
  <si>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</si>
  <si>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</si>
  <si>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</si>
  <si>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</si>
  <si>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</si>
  <si>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</si>
  <si>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</si>
  <si>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</si>
  <si>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</si>
  <si>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</si>
  <si>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</si>
  <si>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</si>
  <si>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</si>
  <si>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</si>
  <si>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</si>
  <si>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</si>
  <si>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</si>
  <si>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</si>
  <si>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</si>
  <si>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</si>
  <si>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</si>
  <si>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</si>
  <si>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</si>
  <si>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</si>
  <si>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</si>
  <si>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</si>
  <si>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</si>
  <si>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</si>
  <si>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</si>
  <si>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</si>
  <si>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</si>
  <si>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</si>
  <si>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</si>
  <si>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</si>
  <si>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</si>
  <si>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</si>
  <si>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</si>
  <si>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</si>
  <si>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</si>
  <si>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</si>
  <si>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</si>
  <si>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</si>
  <si>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</si>
  <si>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</si>
  <si>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</si>
  <si>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</si>
  <si>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</si>
  <si>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</si>
  <si>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</si>
  <si>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</si>
  <si>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</si>
  <si>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</si>
  <si>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</si>
  <si>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</si>
  <si>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</si>
  <si>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</si>
  <si>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</si>
  <si>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</si>
  <si>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</si>
  <si>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</si>
  <si>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</si>
  <si>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</si>
  <si>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</si>
  <si>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</si>
  <si>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</si>
  <si>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</si>
  <si>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</si>
  <si>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</si>
  <si>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</si>
  <si>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</si>
  <si>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</si>
  <si>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</si>
  <si>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</si>
  <si>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</si>
  <si>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</si>
  <si>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</si>
  <si>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</si>
  <si>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</si>
  <si>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</si>
  <si>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</si>
  <si>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</si>
  <si>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</si>
  <si>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</si>
  <si>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</si>
  <si>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</si>
  <si>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</si>
  <si>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</si>
  <si>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</si>
  <si>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</si>
  <si>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</si>
  <si>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</si>
  <si>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</si>
  <si>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</si>
  <si>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</si>
  <si>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</si>
  <si>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</si>
  <si>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</si>
  <si>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</si>
  <si>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</si>
  <si>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</si>
  <si>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</si>
  <si>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</si>
  <si>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</si>
  <si>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</si>
  <si>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</si>
  <si>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</si>
  <si>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</si>
  <si>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</si>
  <si>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</si>
  <si>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</si>
  <si>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</si>
  <si>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</si>
  <si>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</si>
  <si>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</si>
  <si>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</si>
  <si>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</si>
  <si>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</si>
  <si>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</si>
  <si>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</si>
  <si>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</si>
  <si>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</si>
  <si>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</si>
  <si>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</si>
  <si>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</si>
  <si>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</si>
  <si>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</si>
  <si>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</si>
  <si>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</si>
  <si>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</si>
  <si>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</si>
  <si>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</si>
  <si>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</si>
  <si>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</si>
  <si>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</si>
  <si>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</si>
  <si>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</si>
  <si>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</si>
  <si>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</si>
  <si>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</si>
  <si>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</si>
  <si>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</si>
  <si>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</si>
  <si>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</si>
  <si>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</si>
  <si>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</si>
  <si>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</si>
  <si>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</si>
  <si>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</si>
  <si>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</si>
  <si>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</si>
  <si>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</si>
  <si>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</si>
  <si>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</si>
  <si>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</si>
  <si>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</si>
  <si>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</si>
  <si>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</si>
  <si>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</si>
  <si>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</si>
  <si>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</si>
  <si>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</si>
  <si>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</si>
  <si>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</si>
  <si>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</si>
  <si>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</si>
  <si>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</si>
  <si>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</si>
  <si>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</si>
  <si>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</si>
  <si>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</si>
  <si>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</si>
  <si>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</si>
  <si>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</si>
  <si>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</si>
  <si>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</si>
  <si>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</si>
  <si>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</si>
  <si>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</si>
  <si>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</si>
  <si>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</si>
  <si>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</si>
  <si>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</si>
  <si>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</si>
  <si>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</si>
  <si>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</si>
  <si>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</si>
  <si>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</si>
  <si>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</si>
  <si>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</si>
  <si>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</si>
  <si>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</si>
  <si>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</si>
  <si>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</si>
  <si>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</si>
  <si>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>Summary of Accounting Changes - 2014 True-Up</t>
  </si>
  <si>
    <t>No accounting changes to report.</t>
  </si>
  <si>
    <t>Actual Costs for Twelve Months Ended December 31, 2014</t>
  </si>
  <si>
    <t>Total True-Up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</si>
</sst>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#,##0.0_);[Red]\(#,##0.0\)"/>
    <numFmt numFmtId="167" formatCode="0.000000%"/>
    <numFmt numFmtId="168" formatCode="0.000%"/>
    <numFmt numFmtId="169" formatCode="&quot;$&quot;#,##0.000_);[Red]\(&quot;$&quot;#,##0.000\)"/>
    <numFmt numFmtId="170" formatCode="0.00000"/>
    <numFmt numFmtId="171" formatCode="#,##0.000"/>
    <numFmt numFmtId="172" formatCode="&quot;$&quot;#,##0.000"/>
    <numFmt numFmtId="173" formatCode="#,##0.00000"/>
    <numFmt numFmtId="174" formatCode="#,##0.0"/>
    <numFmt numFmtId="175" formatCode="0.0000"/>
    <numFmt numFmtId="176" formatCode="#,##0.0000"/>
    <numFmt numFmtId="177" formatCode="_(&quot;$&quot;* #,##0_);_(&quot;$&quot;* \(#,##0\);_(&quot;$&quot;* &quot;-&quot;??_);_(@_)"/>
    <numFmt numFmtId="178" formatCode="_(* #,##0_);_(* \(#,##0\);_(* &quot;-&quot;??_);_(@_)"/>
    <numFmt numFmtId="179" formatCode="&quot;$&quot;#,##0"/>
    <numFmt numFmtId="180" formatCode="#,##0.000_);\(#,##0.000\)"/>
  </numFmts>
  <fonts count="6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24" fillId="0" borderId="0" applyProtection="0"/>
    <xf numFmtId="0" fontId="23" fillId="0" borderId="0"/>
    <xf numFmtId="0" fontId="23" fillId="0" borderId="0"/>
    <xf numFmtId="0" fontId="23" fillId="0" borderId="0"/>
    <xf numFmtId="0" fontId="18" fillId="0" borderId="0"/>
    <xf numFmtId="9" fontId="23" fillId="0" borderId="0" applyFont="0" applyFill="0" applyBorder="0" applyAlignment="0" applyProtection="0"/>
    <xf numFmtId="37" fontId="25" fillId="0" borderId="0" applyFont="0" applyFill="0" applyBorder="0" applyAlignment="0" applyProtection="0"/>
    <xf numFmtId="3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4" fillId="0" borderId="0" applyProtection="0"/>
    <xf numFmtId="0" fontId="25" fillId="0" borderId="0"/>
    <xf numFmtId="0" fontId="25" fillId="0" borderId="0"/>
    <xf numFmtId="0" fontId="23" fillId="0" borderId="0"/>
    <xf numFmtId="0" fontId="9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4" fillId="0" borderId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8" fillId="7" borderId="0" applyNumberFormat="0" applyBorder="0" applyAlignment="0" applyProtection="0"/>
    <xf numFmtId="0" fontId="49" fillId="24" borderId="15" applyNumberFormat="0" applyAlignment="0" applyProtection="0"/>
    <xf numFmtId="0" fontId="50" fillId="25" borderId="16" applyNumberFormat="0" applyAlignment="0" applyProtection="0"/>
    <xf numFmtId="44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11" borderId="15" applyNumberFormat="0" applyAlignment="0" applyProtection="0"/>
    <xf numFmtId="0" fontId="57" fillId="0" borderId="20" applyNumberFormat="0" applyFill="0" applyAlignment="0" applyProtection="0"/>
    <xf numFmtId="0" fontId="58" fillId="26" borderId="0" applyNumberFormat="0" applyBorder="0" applyAlignment="0" applyProtection="0"/>
    <xf numFmtId="0" fontId="24" fillId="27" borderId="21" applyNumberFormat="0" applyFont="0" applyAlignment="0" applyProtection="0"/>
    <xf numFmtId="0" fontId="59" fillId="24" borderId="22" applyNumberFormat="0" applyAlignment="0" applyProtection="0"/>
    <xf numFmtId="0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</cellStyleXfs>
  <cellXfs count="527">
    <xf numFmtId="0" fontId="0" fillId="0" borderId="0" xfId="0"/>
    <xf numFmtId="0" fontId="22" fillId="0" borderId="0" xfId="0" applyFont="1"/>
    <xf numFmtId="0" fontId="18" fillId="0" borderId="0" xfId="0" applyFont="1"/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2" borderId="0" xfId="9" applyFont="1" applyFill="1" applyAlignment="1">
      <alignment horizontal="centerContinuous"/>
    </xf>
    <xf numFmtId="0" fontId="18" fillId="0" borderId="0" xfId="9" applyAlignment="1">
      <alignment horizontal="centerContinuous"/>
    </xf>
    <xf numFmtId="0" fontId="18" fillId="0" borderId="0" xfId="9" applyBorder="1" applyAlignment="1">
      <alignment horizontal="centerContinuous"/>
    </xf>
    <xf numFmtId="0" fontId="18" fillId="0" borderId="0" xfId="9"/>
    <xf numFmtId="0" fontId="18" fillId="2" borderId="0" xfId="9" applyFont="1" applyFill="1" applyAlignment="1">
      <alignment horizontal="center"/>
    </xf>
    <xf numFmtId="0" fontId="18" fillId="0" borderId="0" xfId="9" applyBorder="1" applyAlignment="1">
      <alignment horizontal="center"/>
    </xf>
    <xf numFmtId="0" fontId="18" fillId="2" borderId="1" xfId="9" applyFont="1" applyFill="1" applyBorder="1" applyAlignment="1">
      <alignment horizontal="center"/>
    </xf>
    <xf numFmtId="0" fontId="18" fillId="0" borderId="1" xfId="9" applyBorder="1" applyAlignment="1">
      <alignment horizontal="center"/>
    </xf>
    <xf numFmtId="0" fontId="18" fillId="2" borderId="0" xfId="9" quotePrefix="1" applyFont="1" applyFill="1"/>
    <xf numFmtId="6" fontId="18" fillId="0" borderId="0" xfId="9" applyNumberFormat="1"/>
    <xf numFmtId="6" fontId="18" fillId="0" borderId="0" xfId="9" applyNumberFormat="1" applyBorder="1"/>
    <xf numFmtId="38" fontId="18" fillId="0" borderId="0" xfId="9" applyNumberFormat="1"/>
    <xf numFmtId="38" fontId="18" fillId="0" borderId="0" xfId="9" applyNumberFormat="1" applyBorder="1"/>
    <xf numFmtId="0" fontId="18" fillId="0" borderId="0" xfId="9" applyBorder="1"/>
    <xf numFmtId="0" fontId="18" fillId="2" borderId="0" xfId="9" applyFont="1" applyFill="1"/>
    <xf numFmtId="38" fontId="18" fillId="0" borderId="2" xfId="9" applyNumberFormat="1" applyBorder="1"/>
    <xf numFmtId="0" fontId="18" fillId="2" borderId="0" xfId="9" applyFill="1"/>
    <xf numFmtId="0" fontId="18" fillId="0" borderId="1" xfId="9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/>
    <xf numFmtId="38" fontId="18" fillId="0" borderId="0" xfId="0" applyNumberFormat="1" applyFont="1"/>
    <xf numFmtId="0" fontId="18" fillId="0" borderId="0" xfId="0" applyFont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38" fontId="18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38" fontId="18" fillId="0" borderId="1" xfId="0" applyNumberFormat="1" applyFont="1" applyBorder="1" applyAlignment="1">
      <alignment horizontal="center"/>
    </xf>
    <xf numFmtId="38" fontId="18" fillId="2" borderId="0" xfId="0" applyNumberFormat="1" applyFont="1" applyFill="1" applyBorder="1" applyAlignment="1">
      <alignment horizontal="center"/>
    </xf>
    <xf numFmtId="38" fontId="18" fillId="0" borderId="1" xfId="0" applyNumberFormat="1" applyFont="1" applyBorder="1" applyAlignment="1">
      <alignment horizontal="centerContinuous"/>
    </xf>
    <xf numFmtId="38" fontId="18" fillId="2" borderId="0" xfId="0" applyNumberFormat="1" applyFont="1" applyFill="1"/>
    <xf numFmtId="6" fontId="18" fillId="0" borderId="0" xfId="0" applyNumberFormat="1" applyFont="1" applyFill="1"/>
    <xf numFmtId="0" fontId="18" fillId="0" borderId="0" xfId="0" applyFont="1" applyFill="1"/>
    <xf numFmtId="6" fontId="18" fillId="0" borderId="1" xfId="0" applyNumberFormat="1" applyFont="1" applyFill="1" applyBorder="1"/>
    <xf numFmtId="38" fontId="18" fillId="0" borderId="3" xfId="0" applyNumberFormat="1" applyFont="1" applyFill="1" applyBorder="1"/>
    <xf numFmtId="38" fontId="18" fillId="0" borderId="0" xfId="0" applyNumberFormat="1" applyFont="1" applyFill="1"/>
    <xf numFmtId="0" fontId="18" fillId="0" borderId="0" xfId="0" applyFont="1" applyAlignment="1">
      <alignment horizontal="left"/>
    </xf>
    <xf numFmtId="38" fontId="18" fillId="0" borderId="0" xfId="0" applyNumberFormat="1" applyFont="1" applyFill="1" applyBorder="1"/>
    <xf numFmtId="38" fontId="18" fillId="0" borderId="1" xfId="0" applyNumberFormat="1" applyFont="1" applyFill="1" applyBorder="1"/>
    <xf numFmtId="38" fontId="20" fillId="0" borderId="0" xfId="0" applyNumberFormat="1" applyFont="1" applyAlignment="1">
      <alignment horizontal="centerContinuous"/>
    </xf>
    <xf numFmtId="38" fontId="18" fillId="0" borderId="0" xfId="0" applyNumberFormat="1" applyFont="1" applyBorder="1" applyAlignment="1">
      <alignment horizontal="center"/>
    </xf>
    <xf numFmtId="6" fontId="18" fillId="0" borderId="0" xfId="0" applyNumberFormat="1" applyFont="1" applyAlignment="1"/>
    <xf numFmtId="38" fontId="18" fillId="0" borderId="0" xfId="0" applyNumberFormat="1" applyFont="1" applyAlignment="1"/>
    <xf numFmtId="38" fontId="18" fillId="0" borderId="2" xfId="0" applyNumberFormat="1" applyFont="1" applyBorder="1"/>
    <xf numFmtId="6" fontId="18" fillId="2" borderId="0" xfId="9" applyNumberFormat="1" applyFill="1"/>
    <xf numFmtId="6" fontId="18" fillId="2" borderId="0" xfId="9" applyNumberFormat="1" applyFill="1" applyBorder="1"/>
    <xf numFmtId="38" fontId="18" fillId="2" borderId="0" xfId="9" applyNumberFormat="1" applyFill="1"/>
    <xf numFmtId="38" fontId="18" fillId="2" borderId="0" xfId="9" applyNumberFormat="1" applyFill="1" applyBorder="1"/>
    <xf numFmtId="0" fontId="19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/>
    </xf>
    <xf numFmtId="38" fontId="17" fillId="0" borderId="0" xfId="0" applyNumberFormat="1" applyFont="1"/>
    <xf numFmtId="38" fontId="17" fillId="0" borderId="10" xfId="0" applyNumberFormat="1" applyFont="1" applyBorder="1"/>
    <xf numFmtId="0" fontId="16" fillId="0" borderId="0" xfId="9" applyFont="1" applyBorder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0" applyFont="1" applyFill="1"/>
    <xf numFmtId="0" fontId="18" fillId="2" borderId="0" xfId="9" applyFill="1" applyBorder="1"/>
    <xf numFmtId="0" fontId="16" fillId="2" borderId="1" xfId="9" applyFont="1" applyFill="1" applyBorder="1" applyAlignment="1">
      <alignment horizontal="center"/>
    </xf>
    <xf numFmtId="0" fontId="16" fillId="2" borderId="1" xfId="9" applyFont="1" applyFill="1" applyBorder="1" applyAlignment="1">
      <alignment horizontal="centerContinuous"/>
    </xf>
    <xf numFmtId="0" fontId="16" fillId="0" borderId="1" xfId="9" applyFont="1" applyBorder="1" applyAlignment="1">
      <alignment horizontal="centerContinuous"/>
    </xf>
    <xf numFmtId="0" fontId="16" fillId="2" borderId="0" xfId="9" applyFont="1" applyFill="1" applyAlignment="1">
      <alignment horizontal="center"/>
    </xf>
    <xf numFmtId="0" fontId="16" fillId="0" borderId="0" xfId="9" applyFont="1" applyBorder="1" applyAlignment="1">
      <alignment horizontal="centerContinuous"/>
    </xf>
    <xf numFmtId="38" fontId="16" fillId="2" borderId="0" xfId="9" applyNumberFormat="1" applyFont="1" applyFill="1"/>
    <xf numFmtId="0" fontId="15" fillId="0" borderId="0" xfId="0" applyFont="1"/>
    <xf numFmtId="38" fontId="15" fillId="0" borderId="0" xfId="0" applyNumberFormat="1" applyFont="1"/>
    <xf numFmtId="0" fontId="15" fillId="0" borderId="0" xfId="0" applyFont="1" applyAlignment="1">
      <alignment horizontal="centerContinuous"/>
    </xf>
    <xf numFmtId="38" fontId="15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"/>
    </xf>
    <xf numFmtId="38" fontId="15" fillId="0" borderId="0" xfId="0" applyNumberFormat="1" applyFont="1" applyAlignment="1">
      <alignment horizontal="center"/>
    </xf>
    <xf numFmtId="38" fontId="15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8" fontId="15" fillId="0" borderId="1" xfId="0" applyNumberFormat="1" applyFont="1" applyBorder="1" applyAlignment="1">
      <alignment horizontal="center"/>
    </xf>
    <xf numFmtId="6" fontId="15" fillId="0" borderId="0" xfId="0" applyNumberFormat="1" applyFont="1"/>
    <xf numFmtId="38" fontId="15" fillId="0" borderId="3" xfId="0" applyNumberFormat="1" applyFont="1" applyBorder="1"/>
    <xf numFmtId="38" fontId="15" fillId="2" borderId="0" xfId="0" applyNumberFormat="1" applyFont="1" applyFill="1"/>
    <xf numFmtId="38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Alignment="1">
      <alignment horizontal="left"/>
    </xf>
    <xf numFmtId="38" fontId="15" fillId="0" borderId="1" xfId="0" applyNumberFormat="1" applyFont="1" applyBorder="1"/>
    <xf numFmtId="38" fontId="15" fillId="0" borderId="2" xfId="0" applyNumberFormat="1" applyFont="1" applyBorder="1"/>
    <xf numFmtId="38" fontId="15" fillId="0" borderId="10" xfId="0" applyNumberFormat="1" applyFont="1" applyBorder="1"/>
    <xf numFmtId="6" fontId="15" fillId="0" borderId="0" xfId="0" applyNumberFormat="1" applyFont="1" applyAlignment="1"/>
    <xf numFmtId="38" fontId="15" fillId="0" borderId="0" xfId="0" applyNumberFormat="1" applyFont="1" applyAlignment="1"/>
    <xf numFmtId="38" fontId="15" fillId="0" borderId="11" xfId="0" applyNumberFormat="1" applyFont="1" applyBorder="1"/>
    <xf numFmtId="38" fontId="15" fillId="2" borderId="0" xfId="0" applyNumberFormat="1" applyFont="1" applyFill="1" applyAlignment="1">
      <alignment horizontal="center"/>
    </xf>
    <xf numFmtId="38" fontId="15" fillId="2" borderId="0" xfId="0" applyNumberFormat="1" applyFont="1" applyFill="1" applyBorder="1" applyAlignment="1">
      <alignment horizontal="center"/>
    </xf>
    <xf numFmtId="38" fontId="15" fillId="0" borderId="0" xfId="0" applyNumberFormat="1" applyFont="1" applyFill="1"/>
    <xf numFmtId="6" fontId="15" fillId="0" borderId="0" xfId="0" applyNumberFormat="1" applyFont="1" applyFill="1"/>
    <xf numFmtId="0" fontId="15" fillId="0" borderId="1" xfId="0" applyFont="1" applyBorder="1" applyAlignment="1">
      <alignment horizontal="centerContinuous"/>
    </xf>
    <xf numFmtId="165" fontId="15" fillId="0" borderId="0" xfId="0" applyNumberFormat="1" applyFont="1" applyBorder="1"/>
    <xf numFmtId="165" fontId="15" fillId="0" borderId="0" xfId="0" applyNumberFormat="1" applyFont="1"/>
    <xf numFmtId="165" fontId="15" fillId="0" borderId="3" xfId="0" applyNumberFormat="1" applyFont="1" applyBorder="1"/>
    <xf numFmtId="0" fontId="15" fillId="0" borderId="0" xfId="0" quotePrefix="1" applyFont="1"/>
    <xf numFmtId="8" fontId="15" fillId="0" borderId="0" xfId="0" applyNumberFormat="1" applyFont="1"/>
    <xf numFmtId="6" fontId="15" fillId="0" borderId="0" xfId="0" applyNumberFormat="1" applyFont="1" applyBorder="1"/>
    <xf numFmtId="40" fontId="15" fillId="0" borderId="0" xfId="0" applyNumberFormat="1" applyFont="1"/>
    <xf numFmtId="40" fontId="15" fillId="0" borderId="0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20" fillId="0" borderId="0" xfId="0" applyFont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6" fontId="14" fillId="0" borderId="0" xfId="0" applyNumberFormat="1" applyFont="1" applyBorder="1" applyAlignment="1">
      <alignment horizontal="right"/>
    </xf>
    <xf numFmtId="6" fontId="14" fillId="0" borderId="0" xfId="0" applyNumberFormat="1" applyFont="1" applyAlignment="1">
      <alignment horizontal="right"/>
    </xf>
    <xf numFmtId="38" fontId="14" fillId="0" borderId="0" xfId="0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/>
    </xf>
    <xf numFmtId="38" fontId="14" fillId="0" borderId="3" xfId="0" applyNumberFormat="1" applyFont="1" applyBorder="1" applyAlignment="1">
      <alignment horizontal="right"/>
    </xf>
    <xf numFmtId="38" fontId="14" fillId="0" borderId="0" xfId="0" applyNumberFormat="1" applyFont="1"/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 applyAlignment="1">
      <alignment horizontal="left" indent="1"/>
    </xf>
    <xf numFmtId="38" fontId="14" fillId="0" borderId="3" xfId="0" applyNumberFormat="1" applyFont="1" applyBorder="1"/>
    <xf numFmtId="38" fontId="14" fillId="0" borderId="11" xfId="0" applyNumberFormat="1" applyFont="1" applyBorder="1" applyAlignment="1">
      <alignment horizontal="right"/>
    </xf>
    <xf numFmtId="38" fontId="14" fillId="0" borderId="11" xfId="0" applyNumberFormat="1" applyFont="1" applyBorder="1"/>
    <xf numFmtId="0" fontId="13" fillId="2" borderId="1" xfId="9" applyFont="1" applyFill="1" applyBorder="1" applyAlignment="1">
      <alignment horizontal="centerContinuous"/>
    </xf>
    <xf numFmtId="0" fontId="13" fillId="2" borderId="0" xfId="9" applyFont="1" applyFill="1" applyAlignment="1">
      <alignment horizontal="centerContinuous"/>
    </xf>
    <xf numFmtId="0" fontId="12" fillId="0" borderId="1" xfId="9" applyFont="1" applyBorder="1" applyAlignment="1">
      <alignment horizontal="center"/>
    </xf>
    <xf numFmtId="0" fontId="12" fillId="2" borderId="0" xfId="9" applyFont="1" applyFill="1"/>
    <xf numFmtId="38" fontId="14" fillId="2" borderId="0" xfId="0" applyNumberFormat="1" applyFont="1" applyFill="1"/>
    <xf numFmtId="166" fontId="12" fillId="0" borderId="0" xfId="0" applyNumberFormat="1" applyFont="1"/>
    <xf numFmtId="0" fontId="12" fillId="0" borderId="0" xfId="0" applyFont="1"/>
    <xf numFmtId="38" fontId="12" fillId="0" borderId="0" xfId="0" applyNumberFormat="1" applyFont="1"/>
    <xf numFmtId="166" fontId="20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38" fontId="12" fillId="0" borderId="0" xfId="0" applyNumberFormat="1" applyFont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8" fontId="12" fillId="0" borderId="1" xfId="0" applyNumberFormat="1" applyFont="1" applyBorder="1" applyAlignment="1">
      <alignment horizontal="center"/>
    </xf>
    <xf numFmtId="0" fontId="23" fillId="0" borderId="0" xfId="6"/>
    <xf numFmtId="6" fontId="12" fillId="0" borderId="0" xfId="0" applyNumberFormat="1" applyFont="1"/>
    <xf numFmtId="0" fontId="23" fillId="0" borderId="0" xfId="6" applyFont="1" applyFill="1"/>
    <xf numFmtId="38" fontId="12" fillId="2" borderId="0" xfId="0" applyNumberFormat="1" applyFont="1" applyFill="1"/>
    <xf numFmtId="38" fontId="12" fillId="0" borderId="2" xfId="0" applyNumberFormat="1" applyFont="1" applyBorder="1"/>
    <xf numFmtId="0" fontId="12" fillId="3" borderId="3" xfId="0" applyFont="1" applyFill="1" applyBorder="1"/>
    <xf numFmtId="0" fontId="12" fillId="3" borderId="0" xfId="0" applyFont="1" applyFill="1" applyBorder="1"/>
    <xf numFmtId="0" fontId="12" fillId="3" borderId="1" xfId="0" applyFont="1" applyFill="1" applyBorder="1"/>
    <xf numFmtId="38" fontId="12" fillId="3" borderId="9" xfId="0" applyNumberFormat="1" applyFont="1" applyFill="1" applyBorder="1"/>
    <xf numFmtId="166" fontId="20" fillId="0" borderId="0" xfId="0" applyNumberFormat="1" applyFont="1"/>
    <xf numFmtId="38" fontId="12" fillId="0" borderId="0" xfId="0" applyNumberFormat="1" applyFont="1" applyBorder="1"/>
    <xf numFmtId="166" fontId="20" fillId="3" borderId="4" xfId="0" applyNumberFormat="1" applyFont="1" applyFill="1" applyBorder="1"/>
    <xf numFmtId="38" fontId="12" fillId="3" borderId="5" xfId="0" applyNumberFormat="1" applyFont="1" applyFill="1" applyBorder="1"/>
    <xf numFmtId="166" fontId="12" fillId="3" borderId="6" xfId="0" applyNumberFormat="1" applyFont="1" applyFill="1" applyBorder="1"/>
    <xf numFmtId="6" fontId="12" fillId="3" borderId="7" xfId="0" applyNumberFormat="1" applyFont="1" applyFill="1" applyBorder="1"/>
    <xf numFmtId="38" fontId="12" fillId="3" borderId="7" xfId="0" applyNumberFormat="1" applyFont="1" applyFill="1" applyBorder="1"/>
    <xf numFmtId="166" fontId="12" fillId="3" borderId="0" xfId="0" applyNumberFormat="1" applyFont="1" applyFill="1" applyBorder="1"/>
    <xf numFmtId="38" fontId="12" fillId="3" borderId="12" xfId="0" applyNumberFormat="1" applyFont="1" applyFill="1" applyBorder="1"/>
    <xf numFmtId="166" fontId="12" fillId="3" borderId="8" xfId="0" applyNumberFormat="1" applyFont="1" applyFill="1" applyBorder="1"/>
    <xf numFmtId="166" fontId="12" fillId="3" borderId="1" xfId="0" applyNumberFormat="1" applyFont="1" applyFill="1" applyBorder="1"/>
    <xf numFmtId="6" fontId="18" fillId="2" borderId="0" xfId="0" applyNumberFormat="1" applyFont="1" applyFill="1"/>
    <xf numFmtId="38" fontId="18" fillId="2" borderId="3" xfId="0" applyNumberFormat="1" applyFont="1" applyFill="1" applyBorder="1"/>
    <xf numFmtId="38" fontId="11" fillId="0" borderId="1" xfId="0" applyNumberFormat="1" applyFont="1" applyBorder="1" applyAlignment="1">
      <alignment horizontal="center"/>
    </xf>
    <xf numFmtId="38" fontId="11" fillId="0" borderId="0" xfId="0" applyNumberFormat="1" applyFont="1"/>
    <xf numFmtId="0" fontId="11" fillId="0" borderId="0" xfId="0" applyFont="1"/>
    <xf numFmtId="38" fontId="11" fillId="0" borderId="0" xfId="0" applyNumberFormat="1" applyFont="1" applyFill="1"/>
    <xf numFmtId="38" fontId="15" fillId="2" borderId="0" xfId="0" applyNumberFormat="1" applyFont="1" applyFill="1" applyBorder="1"/>
    <xf numFmtId="0" fontId="10" fillId="0" borderId="1" xfId="0" applyFont="1" applyBorder="1" applyAlignment="1">
      <alignment horizontal="centerContinuous"/>
    </xf>
    <xf numFmtId="0" fontId="10" fillId="0" borderId="3" xfId="9" applyFont="1" applyBorder="1" applyAlignment="1">
      <alignment horizontal="center"/>
    </xf>
    <xf numFmtId="0" fontId="10" fillId="0" borderId="1" xfId="9" applyFont="1" applyBorder="1" applyAlignment="1">
      <alignment horizontal="center"/>
    </xf>
    <xf numFmtId="0" fontId="10" fillId="0" borderId="0" xfId="9" applyFont="1" applyBorder="1" applyAlignment="1">
      <alignment horizontal="center"/>
    </xf>
    <xf numFmtId="0" fontId="10" fillId="0" borderId="1" xfId="9" applyFont="1" applyBorder="1" applyAlignment="1">
      <alignment horizontal="centerContinuous"/>
    </xf>
    <xf numFmtId="0" fontId="10" fillId="0" borderId="0" xfId="0" applyFont="1"/>
    <xf numFmtId="6" fontId="15" fillId="2" borderId="0" xfId="0" applyNumberFormat="1" applyFont="1" applyFill="1"/>
    <xf numFmtId="0" fontId="10" fillId="0" borderId="0" xfId="0" quotePrefix="1" applyFont="1"/>
    <xf numFmtId="38" fontId="10" fillId="0" borderId="1" xfId="0" applyNumberFormat="1" applyFont="1" applyBorder="1" applyAlignment="1">
      <alignment horizontal="center"/>
    </xf>
    <xf numFmtId="38" fontId="10" fillId="0" borderId="0" xfId="0" applyNumberFormat="1" applyFont="1"/>
    <xf numFmtId="166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3" fillId="0" borderId="0" xfId="7"/>
    <xf numFmtId="6" fontId="10" fillId="0" borderId="0" xfId="0" applyNumberFormat="1" applyFont="1"/>
    <xf numFmtId="38" fontId="10" fillId="2" borderId="0" xfId="0" applyNumberFormat="1" applyFont="1" applyFill="1"/>
    <xf numFmtId="38" fontId="10" fillId="0" borderId="2" xfId="0" applyNumberFormat="1" applyFont="1" applyBorder="1"/>
    <xf numFmtId="0" fontId="10" fillId="0" borderId="0" xfId="0" applyFont="1" applyBorder="1" applyAlignment="1">
      <alignment horizontal="center"/>
    </xf>
    <xf numFmtId="38" fontId="10" fillId="0" borderId="3" xfId="0" applyNumberFormat="1" applyFont="1" applyBorder="1"/>
    <xf numFmtId="38" fontId="10" fillId="0" borderId="0" xfId="0" applyNumberFormat="1" applyFont="1" applyBorder="1"/>
    <xf numFmtId="0" fontId="10" fillId="0" borderId="0" xfId="0" applyFont="1" applyFill="1"/>
    <xf numFmtId="38" fontId="10" fillId="0" borderId="11" xfId="0" applyNumberFormat="1" applyFont="1" applyBorder="1"/>
    <xf numFmtId="38" fontId="10" fillId="0" borderId="1" xfId="0" applyNumberFormat="1" applyFont="1" applyBorder="1"/>
    <xf numFmtId="0" fontId="10" fillId="2" borderId="0" xfId="0" applyFont="1" applyFill="1"/>
    <xf numFmtId="6" fontId="10" fillId="0" borderId="0" xfId="0" applyNumberFormat="1" applyFont="1" applyFill="1" applyBorder="1"/>
    <xf numFmtId="0" fontId="10" fillId="0" borderId="0" xfId="0" applyFont="1" applyBorder="1"/>
    <xf numFmtId="38" fontId="10" fillId="0" borderId="0" xfId="0" applyNumberFormat="1" applyFont="1" applyBorder="1" applyAlignment="1">
      <alignment horizontal="center"/>
    </xf>
    <xf numFmtId="38" fontId="10" fillId="2" borderId="1" xfId="0" applyNumberFormat="1" applyFont="1" applyFill="1" applyBorder="1"/>
    <xf numFmtId="0" fontId="9" fillId="0" borderId="0" xfId="0" applyFont="1"/>
    <xf numFmtId="0" fontId="23" fillId="0" borderId="1" xfId="6" applyFill="1" applyBorder="1" applyAlignment="1">
      <alignment horizontal="centerContinuous"/>
    </xf>
    <xf numFmtId="0" fontId="23" fillId="0" borderId="1" xfId="6" applyFill="1" applyBorder="1" applyAlignment="1">
      <alignment horizontal="center"/>
    </xf>
    <xf numFmtId="0" fontId="23" fillId="0" borderId="0" xfId="6" quotePrefix="1" applyFill="1" applyAlignment="1">
      <alignment horizontal="left"/>
    </xf>
    <xf numFmtId="0" fontId="23" fillId="0" borderId="0" xfId="6" applyFill="1"/>
    <xf numFmtId="7" fontId="23" fillId="0" borderId="0" xfId="3" applyNumberFormat="1" applyFont="1" applyFill="1"/>
    <xf numFmtId="40" fontId="23" fillId="0" borderId="0" xfId="6" applyNumberFormat="1" applyFill="1"/>
    <xf numFmtId="43" fontId="23" fillId="0" borderId="0" xfId="1" applyFont="1" applyFill="1"/>
    <xf numFmtId="43" fontId="23" fillId="0" borderId="1" xfId="1" applyFont="1" applyFill="1" applyBorder="1"/>
    <xf numFmtId="43" fontId="23" fillId="0" borderId="2" xfId="1" applyFont="1" applyFill="1" applyBorder="1"/>
    <xf numFmtId="40" fontId="23" fillId="0" borderId="2" xfId="6" applyNumberFormat="1" applyFill="1" applyBorder="1"/>
    <xf numFmtId="40" fontId="9" fillId="0" borderId="0" xfId="0" applyNumberFormat="1" applyFont="1"/>
    <xf numFmtId="8" fontId="23" fillId="0" borderId="11" xfId="6" applyNumberFormat="1" applyFill="1" applyBorder="1"/>
    <xf numFmtId="8" fontId="9" fillId="0" borderId="0" xfId="0" applyNumberFormat="1" applyFont="1"/>
    <xf numFmtId="40" fontId="9" fillId="0" borderId="2" xfId="0" applyNumberFormat="1" applyFont="1" applyBorder="1"/>
    <xf numFmtId="38" fontId="9" fillId="0" borderId="0" xfId="0" applyNumberFormat="1" applyFont="1"/>
    <xf numFmtId="0" fontId="9" fillId="0" borderId="0" xfId="0" applyFont="1" applyBorder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38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6" fontId="9" fillId="0" borderId="0" xfId="0" applyNumberFormat="1" applyFont="1"/>
    <xf numFmtId="38" fontId="9" fillId="0" borderId="3" xfId="0" applyNumberFormat="1" applyFont="1" applyBorder="1"/>
    <xf numFmtId="38" fontId="9" fillId="0" borderId="11" xfId="0" applyNumberFormat="1" applyFont="1" applyBorder="1"/>
    <xf numFmtId="38" fontId="9" fillId="0" borderId="0" xfId="0" applyNumberFormat="1" applyFont="1" applyBorder="1"/>
    <xf numFmtId="6" fontId="9" fillId="0" borderId="11" xfId="0" applyNumberFormat="1" applyFont="1" applyBorder="1"/>
    <xf numFmtId="0" fontId="9" fillId="0" borderId="0" xfId="0" applyFont="1" applyAlignment="1">
      <alignment horizontal="centerContinuous"/>
    </xf>
    <xf numFmtId="38" fontId="9" fillId="0" borderId="2" xfId="0" applyNumberFormat="1" applyFont="1" applyBorder="1"/>
    <xf numFmtId="164" fontId="26" fillId="0" borderId="0" xfId="5" applyFont="1" applyAlignment="1">
      <alignment horizontal="center"/>
    </xf>
    <xf numFmtId="164" fontId="26" fillId="0" borderId="0" xfId="5" applyFont="1" applyAlignment="1">
      <alignment horizontal="centerContinuous" vertical="center" wrapText="1"/>
    </xf>
    <xf numFmtId="164" fontId="26" fillId="0" borderId="0" xfId="5" applyFont="1" applyAlignment="1">
      <alignment horizontal="centerContinuous"/>
    </xf>
    <xf numFmtId="164" fontId="26" fillId="0" borderId="0" xfId="5" applyFont="1" applyAlignment="1">
      <alignment horizontal="centerContinuous" vertical="center"/>
    </xf>
    <xf numFmtId="164" fontId="26" fillId="0" borderId="0" xfId="5" quotePrefix="1" applyFont="1" applyBorder="1" applyAlignment="1">
      <alignment horizontal="center"/>
    </xf>
    <xf numFmtId="0" fontId="27" fillId="0" borderId="0" xfId="5" applyNumberFormat="1" applyFont="1" applyFill="1" applyProtection="1">
      <protection locked="0"/>
    </xf>
    <xf numFmtId="0" fontId="28" fillId="0" borderId="0" xfId="5" applyNumberFormat="1" applyFont="1" applyFill="1" applyProtection="1">
      <protection locked="0"/>
    </xf>
    <xf numFmtId="0" fontId="29" fillId="0" borderId="0" xfId="5" applyNumberFormat="1" applyFont="1" applyFill="1" applyAlignment="1" applyProtection="1">
      <alignment horizontal="center"/>
      <protection locked="0"/>
    </xf>
    <xf numFmtId="0" fontId="24" fillId="0" borderId="0" xfId="5" applyNumberFormat="1" applyFont="1" applyFill="1"/>
    <xf numFmtId="0" fontId="24" fillId="0" borderId="0" xfId="5" applyNumberFormat="1" applyFont="1"/>
    <xf numFmtId="164" fontId="24" fillId="0" borderId="0" xfId="5" applyFont="1" applyAlignment="1"/>
    <xf numFmtId="0" fontId="27" fillId="0" borderId="0" xfId="5" applyNumberFormat="1" applyFont="1" applyAlignment="1" applyProtection="1">
      <alignment horizontal="center"/>
      <protection locked="0"/>
    </xf>
    <xf numFmtId="0" fontId="27" fillId="0" borderId="0" xfId="5" applyNumberFormat="1" applyFont="1" applyFill="1" applyAlignment="1" applyProtection="1">
      <alignment horizontal="right"/>
      <protection locked="0"/>
    </xf>
    <xf numFmtId="10" fontId="27" fillId="4" borderId="0" xfId="5" applyNumberFormat="1" applyFont="1" applyFill="1" applyProtection="1">
      <protection locked="0"/>
    </xf>
    <xf numFmtId="0" fontId="9" fillId="0" borderId="0" xfId="20"/>
    <xf numFmtId="0" fontId="20" fillId="0" borderId="0" xfId="20" applyFont="1" applyAlignment="1">
      <alignment horizontal="centerContinuous"/>
    </xf>
    <xf numFmtId="38" fontId="20" fillId="0" borderId="0" xfId="20" applyNumberFormat="1" applyFont="1" applyAlignment="1">
      <alignment horizontal="centerContinuous"/>
    </xf>
    <xf numFmtId="38" fontId="9" fillId="0" borderId="0" xfId="20" applyNumberFormat="1"/>
    <xf numFmtId="38" fontId="9" fillId="0" borderId="1" xfId="20" applyNumberFormat="1" applyBorder="1" applyAlignment="1">
      <alignment horizontal="center"/>
    </xf>
    <xf numFmtId="6" fontId="9" fillId="0" borderId="0" xfId="20" applyNumberFormat="1"/>
    <xf numFmtId="6" fontId="9" fillId="0" borderId="2" xfId="20" applyNumberForma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7" fontId="30" fillId="0" borderId="0" xfId="8" applyNumberFormat="1" applyFont="1" applyFill="1"/>
    <xf numFmtId="43" fontId="9" fillId="0" borderId="0" xfId="0" applyNumberFormat="1" applyFont="1"/>
    <xf numFmtId="0" fontId="9" fillId="0" borderId="1" xfId="0" applyFont="1" applyFill="1" applyBorder="1" applyAlignment="1">
      <alignment horizontal="center"/>
    </xf>
    <xf numFmtId="7" fontId="23" fillId="0" borderId="0" xfId="8" applyNumberFormat="1" applyFill="1"/>
    <xf numFmtId="5" fontId="9" fillId="0" borderId="0" xfId="0" applyNumberFormat="1" applyFont="1" applyFill="1"/>
    <xf numFmtId="37" fontId="9" fillId="0" borderId="0" xfId="0" applyNumberFormat="1" applyFont="1" applyFill="1"/>
    <xf numFmtId="49" fontId="9" fillId="0" borderId="0" xfId="0" applyNumberFormat="1" applyFont="1" applyFill="1" applyBorder="1" applyAlignment="1">
      <alignment horizontal="left" wrapText="1"/>
    </xf>
    <xf numFmtId="37" fontId="9" fillId="0" borderId="1" xfId="0" applyNumberFormat="1" applyFont="1" applyFill="1" applyBorder="1"/>
    <xf numFmtId="37" fontId="9" fillId="0" borderId="0" xfId="0" applyNumberFormat="1" applyFont="1" applyFill="1" applyBorder="1"/>
    <xf numFmtId="5" fontId="9" fillId="0" borderId="11" xfId="0" applyNumberFormat="1" applyFont="1" applyFill="1" applyBorder="1"/>
    <xf numFmtId="0" fontId="9" fillId="0" borderId="0" xfId="0" applyFont="1" applyFill="1" applyBorder="1"/>
    <xf numFmtId="0" fontId="9" fillId="0" borderId="0" xfId="0" applyFont="1" applyBorder="1"/>
    <xf numFmtId="40" fontId="20" fillId="0" borderId="0" xfId="0" applyNumberFormat="1" applyFont="1" applyAlignment="1">
      <alignment horizontal="centerContinuous"/>
    </xf>
    <xf numFmtId="0" fontId="9" fillId="0" borderId="0" xfId="0" applyFont="1" applyAlignment="1">
      <alignment horizontal="left"/>
    </xf>
    <xf numFmtId="0" fontId="31" fillId="0" borderId="0" xfId="0" applyFont="1"/>
    <xf numFmtId="40" fontId="23" fillId="2" borderId="0" xfId="6" applyNumberFormat="1" applyFill="1"/>
    <xf numFmtId="0" fontId="20" fillId="0" borderId="0" xfId="0" applyFont="1" applyFill="1" applyAlignment="1">
      <alignment horizontal="centerContinuous"/>
    </xf>
    <xf numFmtId="0" fontId="20" fillId="0" borderId="0" xfId="0" applyFont="1" applyAlignment="1"/>
    <xf numFmtId="164" fontId="26" fillId="0" borderId="0" xfId="5" quotePrefix="1" applyFont="1" applyAlignment="1">
      <alignment horizontal="center"/>
    </xf>
    <xf numFmtId="164" fontId="24" fillId="0" borderId="0" xfId="5" applyFont="1" applyBorder="1" applyAlignment="1"/>
    <xf numFmtId="164" fontId="24" fillId="0" borderId="0" xfId="5" quotePrefix="1" applyFont="1" applyBorder="1" applyAlignment="1">
      <alignment horizontal="center"/>
    </xf>
    <xf numFmtId="167" fontId="24" fillId="0" borderId="0" xfId="5" applyNumberFormat="1" applyFont="1" applyBorder="1" applyAlignment="1"/>
    <xf numFmtId="10" fontId="24" fillId="0" borderId="0" xfId="5" applyNumberFormat="1" applyFont="1" applyAlignment="1"/>
    <xf numFmtId="167" fontId="24" fillId="0" borderId="0" xfId="5" applyNumberFormat="1" applyFont="1" applyFill="1" applyAlignment="1"/>
    <xf numFmtId="167" fontId="24" fillId="0" borderId="0" xfId="5" applyNumberFormat="1" applyFont="1" applyAlignment="1"/>
    <xf numFmtId="167" fontId="24" fillId="0" borderId="1" xfId="5" applyNumberFormat="1" applyFont="1" applyBorder="1" applyAlignment="1"/>
    <xf numFmtId="0" fontId="32" fillId="0" borderId="0" xfId="5" applyNumberFormat="1" applyFont="1" applyFill="1" applyAlignment="1" applyProtection="1">
      <alignment horizontal="left"/>
      <protection locked="0"/>
    </xf>
    <xf numFmtId="0" fontId="8" fillId="0" borderId="0" xfId="20" quotePrefix="1" applyFont="1"/>
    <xf numFmtId="49" fontId="8" fillId="0" borderId="0" xfId="0" quotePrefix="1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indent="1"/>
    </xf>
    <xf numFmtId="6" fontId="9" fillId="2" borderId="0" xfId="0" applyNumberFormat="1" applyFont="1" applyFill="1"/>
    <xf numFmtId="38" fontId="9" fillId="2" borderId="0" xfId="0" applyNumberFormat="1" applyFont="1" applyFill="1"/>
    <xf numFmtId="0" fontId="7" fillId="0" borderId="0" xfId="20" quotePrefix="1" applyFont="1"/>
    <xf numFmtId="0" fontId="7" fillId="0" borderId="0" xfId="0" applyFont="1"/>
    <xf numFmtId="0" fontId="7" fillId="0" borderId="1" xfId="9" applyFont="1" applyBorder="1" applyAlignment="1">
      <alignment horizontal="center"/>
    </xf>
    <xf numFmtId="0" fontId="7" fillId="2" borderId="0" xfId="9" applyFont="1" applyFill="1"/>
    <xf numFmtId="0" fontId="7" fillId="0" borderId="0" xfId="0" applyFont="1" applyBorder="1"/>
    <xf numFmtId="38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2" borderId="0" xfId="0" quotePrefix="1" applyFont="1" applyFill="1"/>
    <xf numFmtId="0" fontId="7" fillId="2" borderId="0" xfId="0" applyFont="1" applyFill="1"/>
    <xf numFmtId="0" fontId="6" fillId="0" borderId="0" xfId="0" applyFont="1"/>
    <xf numFmtId="38" fontId="6" fillId="0" borderId="1" xfId="0" applyNumberFormat="1" applyFont="1" applyBorder="1" applyAlignment="1">
      <alignment horizontal="center"/>
    </xf>
    <xf numFmtId="38" fontId="9" fillId="2" borderId="0" xfId="0" applyNumberFormat="1" applyFont="1" applyFill="1" applyBorder="1"/>
    <xf numFmtId="0" fontId="5" fillId="0" borderId="0" xfId="9" applyFont="1" applyBorder="1" applyAlignment="1">
      <alignment horizontal="center"/>
    </xf>
    <xf numFmtId="0" fontId="4" fillId="0" borderId="1" xfId="9" applyFont="1" applyBorder="1" applyAlignment="1">
      <alignment horizontal="center"/>
    </xf>
    <xf numFmtId="0" fontId="4" fillId="2" borderId="0" xfId="9" applyFont="1" applyFill="1"/>
    <xf numFmtId="0" fontId="4" fillId="0" borderId="0" xfId="0" applyFont="1"/>
    <xf numFmtId="0" fontId="4" fillId="2" borderId="0" xfId="0" applyFont="1" applyFill="1"/>
    <xf numFmtId="0" fontId="18" fillId="2" borderId="0" xfId="0" applyFont="1" applyFill="1"/>
    <xf numFmtId="0" fontId="4" fillId="0" borderId="0" xfId="9" applyFont="1" applyBorder="1" applyAlignment="1">
      <alignment horizontal="center"/>
    </xf>
    <xf numFmtId="38" fontId="4" fillId="0" borderId="0" xfId="0" applyNumberFormat="1" applyFont="1"/>
    <xf numFmtId="38" fontId="4" fillId="0" borderId="0" xfId="0" applyNumberFormat="1" applyFont="1" applyFill="1"/>
    <xf numFmtId="0" fontId="3" fillId="0" borderId="0" xfId="0" applyFont="1"/>
    <xf numFmtId="0" fontId="2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2" fillId="0" borderId="0" xfId="0" applyFont="1"/>
    <xf numFmtId="38" fontId="2" fillId="0" borderId="0" xfId="0" applyNumberFormat="1" applyFont="1"/>
    <xf numFmtId="6" fontId="2" fillId="2" borderId="0" xfId="0" applyNumberFormat="1" applyFont="1" applyFill="1"/>
    <xf numFmtId="38" fontId="2" fillId="0" borderId="3" xfId="0" applyNumberFormat="1" applyFont="1" applyBorder="1"/>
    <xf numFmtId="169" fontId="2" fillId="0" borderId="0" xfId="0" applyNumberFormat="1" applyFont="1"/>
    <xf numFmtId="10" fontId="2" fillId="0" borderId="0" xfId="0" applyNumberFormat="1" applyFont="1"/>
    <xf numFmtId="6" fontId="2" fillId="0" borderId="11" xfId="0" applyNumberFormat="1" applyFont="1" applyBorder="1"/>
    <xf numFmtId="164" fontId="33" fillId="0" borderId="0" xfId="0" applyNumberFormat="1" applyFont="1" applyAlignment="1"/>
    <xf numFmtId="0" fontId="33" fillId="0" borderId="0" xfId="0" applyNumberFormat="1" applyFont="1" applyAlignment="1" applyProtection="1"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Protection="1">
      <protection locked="0"/>
    </xf>
    <xf numFmtId="0" fontId="33" fillId="0" borderId="0" xfId="0" applyNumberFormat="1" applyFont="1" applyAlignment="1" applyProtection="1">
      <alignment horizontal="right"/>
      <protection locked="0"/>
    </xf>
    <xf numFmtId="0" fontId="33" fillId="0" borderId="0" xfId="0" applyNumberFormat="1" applyFont="1" applyFill="1" applyAlignment="1" applyProtection="1">
      <alignment horizontal="right"/>
      <protection locked="0"/>
    </xf>
    <xf numFmtId="0" fontId="33" fillId="0" borderId="0" xfId="0" applyNumberFormat="1" applyFont="1" applyAlignment="1">
      <alignment horizontal="right"/>
    </xf>
    <xf numFmtId="0" fontId="33" fillId="0" borderId="0" xfId="0" applyNumberFormat="1" applyFont="1"/>
    <xf numFmtId="0" fontId="33" fillId="0" borderId="0" xfId="0" applyNumberFormat="1" applyFont="1" applyFill="1" applyAlignment="1">
      <alignment horizontal="right"/>
    </xf>
    <xf numFmtId="0" fontId="33" fillId="0" borderId="0" xfId="0" applyNumberFormat="1" applyFont="1" applyFill="1"/>
    <xf numFmtId="0" fontId="33" fillId="4" borderId="0" xfId="0" applyNumberFormat="1" applyFont="1" applyFill="1" applyProtection="1">
      <protection locked="0"/>
    </xf>
    <xf numFmtId="0" fontId="33" fillId="4" borderId="0" xfId="0" applyNumberFormat="1" applyFont="1" applyFill="1"/>
    <xf numFmtId="3" fontId="33" fillId="0" borderId="0" xfId="0" applyNumberFormat="1" applyFont="1" applyAlignment="1"/>
    <xf numFmtId="0" fontId="33" fillId="0" borderId="0" xfId="0" applyNumberFormat="1" applyFont="1" applyAlignment="1" applyProtection="1">
      <alignment horizontal="center"/>
      <protection locked="0"/>
    </xf>
    <xf numFmtId="49" fontId="34" fillId="5" borderId="0" xfId="0" applyNumberFormat="1" applyFont="1" applyFill="1"/>
    <xf numFmtId="0" fontId="33" fillId="5" borderId="0" xfId="0" applyNumberFormat="1" applyFont="1" applyFill="1"/>
    <xf numFmtId="49" fontId="33" fillId="0" borderId="0" xfId="0" applyNumberFormat="1" applyFont="1"/>
    <xf numFmtId="0" fontId="33" fillId="0" borderId="13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/>
    <xf numFmtId="42" fontId="33" fillId="0" borderId="0" xfId="0" applyNumberFormat="1" applyFont="1"/>
    <xf numFmtId="0" fontId="33" fillId="0" borderId="0" xfId="0" applyNumberFormat="1" applyFont="1" applyAlignment="1"/>
    <xf numFmtId="3" fontId="33" fillId="0" borderId="0" xfId="0" applyNumberFormat="1" applyFont="1" applyFill="1" applyAlignment="1"/>
    <xf numFmtId="0" fontId="33" fillId="0" borderId="13" xfId="0" applyNumberFormat="1" applyFont="1" applyBorder="1" applyAlignment="1" applyProtection="1">
      <alignment horizontal="centerContinuous"/>
      <protection locked="0"/>
    </xf>
    <xf numFmtId="170" fontId="33" fillId="0" borderId="0" xfId="0" applyNumberFormat="1" applyFont="1" applyAlignment="1"/>
    <xf numFmtId="3" fontId="33" fillId="0" borderId="0" xfId="0" applyNumberFormat="1" applyFont="1" applyFill="1" applyBorder="1"/>
    <xf numFmtId="3" fontId="33" fillId="4" borderId="0" xfId="0" applyNumberFormat="1" applyFont="1" applyFill="1" applyAlignment="1"/>
    <xf numFmtId="0" fontId="35" fillId="0" borderId="0" xfId="0" applyNumberFormat="1" applyFont="1"/>
    <xf numFmtId="164" fontId="24" fillId="0" borderId="0" xfId="0" applyNumberFormat="1" applyFont="1" applyAlignment="1"/>
    <xf numFmtId="3" fontId="33" fillId="0" borderId="13" xfId="0" applyNumberFormat="1" applyFont="1" applyBorder="1" applyAlignment="1"/>
    <xf numFmtId="3" fontId="33" fillId="0" borderId="0" xfId="0" applyNumberFormat="1" applyFont="1" applyAlignment="1">
      <alignment horizontal="fill"/>
    </xf>
    <xf numFmtId="0" fontId="24" fillId="0" borderId="0" xfId="0" applyNumberFormat="1" applyFont="1"/>
    <xf numFmtId="0" fontId="33" fillId="0" borderId="0" xfId="23" applyNumberFormat="1" applyFont="1" applyFill="1" applyAlignment="1" applyProtection="1">
      <alignment horizontal="center"/>
      <protection locked="0"/>
    </xf>
    <xf numFmtId="164" fontId="33" fillId="0" borderId="0" xfId="23" applyFont="1" applyFill="1" applyAlignment="1"/>
    <xf numFmtId="0" fontId="33" fillId="0" borderId="0" xfId="23" applyNumberFormat="1" applyFont="1" applyFill="1"/>
    <xf numFmtId="3" fontId="33" fillId="0" borderId="0" xfId="23" applyNumberFormat="1" applyFont="1" applyFill="1" applyAlignment="1"/>
    <xf numFmtId="170" fontId="33" fillId="0" borderId="0" xfId="23" applyNumberFormat="1" applyFont="1" applyFill="1" applyAlignment="1"/>
    <xf numFmtId="37" fontId="33" fillId="4" borderId="0" xfId="23" applyNumberFormat="1" applyFont="1" applyFill="1" applyBorder="1" applyAlignment="1"/>
    <xf numFmtId="37" fontId="33" fillId="4" borderId="13" xfId="23" applyNumberFormat="1" applyFont="1" applyFill="1" applyBorder="1" applyAlignment="1"/>
    <xf numFmtId="37" fontId="33" fillId="0" borderId="0" xfId="23" applyNumberFormat="1" applyFont="1" applyFill="1" applyBorder="1" applyAlignment="1"/>
    <xf numFmtId="0" fontId="24" fillId="0" borderId="0" xfId="0" applyNumberFormat="1" applyFont="1" applyBorder="1"/>
    <xf numFmtId="164" fontId="24" fillId="0" borderId="0" xfId="0" applyNumberFormat="1" applyFont="1" applyBorder="1" applyAlignment="1"/>
    <xf numFmtId="0" fontId="33" fillId="0" borderId="0" xfId="0" applyNumberFormat="1" applyFont="1" applyBorder="1" applyAlignment="1" applyProtection="1">
      <alignment horizontal="centerContinuous"/>
      <protection locked="0"/>
    </xf>
    <xf numFmtId="14" fontId="33" fillId="0" borderId="0" xfId="0" applyNumberFormat="1" applyFont="1" applyBorder="1" applyAlignment="1">
      <alignment horizontal="center"/>
    </xf>
    <xf numFmtId="0" fontId="33" fillId="0" borderId="0" xfId="23" quotePrefix="1" applyNumberFormat="1" applyFont="1" applyFill="1"/>
    <xf numFmtId="42" fontId="33" fillId="0" borderId="11" xfId="0" applyNumberFormat="1" applyFont="1" applyBorder="1" applyAlignment="1" applyProtection="1">
      <alignment horizontal="right"/>
      <protection locked="0"/>
    </xf>
    <xf numFmtId="42" fontId="33" fillId="0" borderId="0" xfId="0" applyNumberFormat="1" applyFont="1" applyBorder="1" applyAlignment="1" applyProtection="1">
      <alignment horizontal="right"/>
      <protection locked="0"/>
    </xf>
    <xf numFmtId="0" fontId="33" fillId="0" borderId="0" xfId="0" applyNumberFormat="1" applyFont="1" applyBorder="1"/>
    <xf numFmtId="164" fontId="33" fillId="0" borderId="0" xfId="0" applyNumberFormat="1" applyFont="1" applyBorder="1" applyAlignment="1"/>
    <xf numFmtId="3" fontId="36" fillId="0" borderId="0" xfId="0" applyNumberFormat="1" applyFont="1"/>
    <xf numFmtId="0" fontId="33" fillId="0" borderId="0" xfId="0" applyNumberFormat="1" applyFont="1" applyFill="1" applyProtection="1">
      <protection locked="0"/>
    </xf>
    <xf numFmtId="3" fontId="33" fillId="4" borderId="0" xfId="0" applyNumberFormat="1" applyFont="1" applyFill="1"/>
    <xf numFmtId="164" fontId="35" fillId="0" borderId="0" xfId="0" applyNumberFormat="1" applyFont="1" applyAlignment="1"/>
    <xf numFmtId="0" fontId="36" fillId="0" borderId="0" xfId="0" applyNumberFormat="1" applyFont="1"/>
    <xf numFmtId="3" fontId="33" fillId="4" borderId="0" xfId="0" applyNumberFormat="1" applyFont="1" applyFill="1" applyBorder="1"/>
    <xf numFmtId="3" fontId="33" fillId="4" borderId="13" xfId="0" applyNumberFormat="1" applyFont="1" applyFill="1" applyBorder="1"/>
    <xf numFmtId="171" fontId="33" fillId="0" borderId="0" xfId="0" applyNumberFormat="1" applyFont="1"/>
    <xf numFmtId="171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left"/>
    </xf>
    <xf numFmtId="172" fontId="33" fillId="0" borderId="0" xfId="0" applyNumberFormat="1" applyFont="1" applyAlignment="1"/>
    <xf numFmtId="0" fontId="33" fillId="0" borderId="0" xfId="0" applyNumberFormat="1" applyFont="1" applyFill="1" applyAlignment="1">
      <alignment horizontal="left"/>
    </xf>
    <xf numFmtId="171" fontId="33" fillId="0" borderId="0" xfId="0" applyNumberFormat="1" applyFont="1" applyFill="1"/>
    <xf numFmtId="172" fontId="33" fillId="4" borderId="0" xfId="0" applyNumberFormat="1" applyFont="1" applyFill="1" applyProtection="1">
      <protection locked="0"/>
    </xf>
    <xf numFmtId="172" fontId="33" fillId="0" borderId="0" xfId="0" applyNumberFormat="1" applyFont="1" applyProtection="1"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164" fontId="33" fillId="0" borderId="0" xfId="0" applyNumberFormat="1" applyFont="1" applyFill="1" applyAlignment="1"/>
    <xf numFmtId="0" fontId="33" fillId="0" borderId="0" xfId="0" applyNumberFormat="1" applyFont="1" applyFill="1" applyAlignment="1"/>
    <xf numFmtId="172" fontId="33" fillId="0" borderId="0" xfId="0" applyNumberFormat="1" applyFont="1" applyFill="1" applyProtection="1">
      <protection locked="0"/>
    </xf>
    <xf numFmtId="0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NumberFormat="1" applyFont="1" applyAlignment="1" applyProtection="1">
      <alignment horizontal="center"/>
      <protection locked="0"/>
    </xf>
    <xf numFmtId="164" fontId="34" fillId="0" borderId="0" xfId="0" applyNumberFormat="1" applyFont="1" applyAlignment="1">
      <alignment horizontal="center"/>
    </xf>
    <xf numFmtId="3" fontId="34" fillId="0" borderId="0" xfId="0" applyNumberFormat="1" applyFont="1" applyAlignment="1"/>
    <xf numFmtId="0" fontId="34" fillId="0" borderId="0" xfId="0" applyNumberFormat="1" applyFont="1" applyAlignment="1"/>
    <xf numFmtId="3" fontId="33" fillId="0" borderId="0" xfId="0" applyNumberFormat="1" applyFont="1" applyFill="1" applyBorder="1" applyAlignment="1"/>
    <xf numFmtId="3" fontId="3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0" borderId="0" xfId="23" applyNumberFormat="1" applyFont="1" applyFill="1" applyAlignment="1"/>
    <xf numFmtId="3" fontId="36" fillId="0" borderId="0" xfId="0" applyNumberFormat="1" applyFont="1" applyAlignment="1">
      <alignment horizontal="center"/>
    </xf>
    <xf numFmtId="173" fontId="33" fillId="0" borderId="0" xfId="0" applyNumberFormat="1" applyFont="1" applyAlignment="1"/>
    <xf numFmtId="3" fontId="33" fillId="0" borderId="0" xfId="0" applyNumberFormat="1" applyFont="1" applyBorder="1" applyAlignment="1"/>
    <xf numFmtId="3" fontId="33" fillId="4" borderId="13" xfId="0" applyNumberFormat="1" applyFont="1" applyFill="1" applyBorder="1" applyAlignment="1"/>
    <xf numFmtId="168" fontId="33" fillId="0" borderId="0" xfId="0" applyNumberFormat="1" applyFont="1" applyAlignment="1">
      <alignment horizontal="center"/>
    </xf>
    <xf numFmtId="3" fontId="33" fillId="4" borderId="0" xfId="23" applyNumberFormat="1" applyFont="1" applyFill="1" applyAlignment="1"/>
    <xf numFmtId="37" fontId="33" fillId="4" borderId="0" xfId="0" applyNumberFormat="1" applyFont="1" applyFill="1" applyAlignment="1"/>
    <xf numFmtId="173" fontId="33" fillId="0" borderId="0" xfId="0" applyNumberFormat="1" applyFont="1" applyFill="1" applyAlignment="1">
      <alignment horizontal="right"/>
    </xf>
    <xf numFmtId="37" fontId="33" fillId="0" borderId="0" xfId="0" applyNumberFormat="1" applyFont="1" applyAlignment="1"/>
    <xf numFmtId="37" fontId="33" fillId="4" borderId="0" xfId="0" applyNumberFormat="1" applyFont="1" applyFill="1" applyBorder="1" applyAlignment="1"/>
    <xf numFmtId="37" fontId="33" fillId="0" borderId="0" xfId="0" applyNumberFormat="1" applyFont="1" applyBorder="1" applyAlignment="1"/>
    <xf numFmtId="37" fontId="33" fillId="4" borderId="1" xfId="0" applyNumberFormat="1" applyFont="1" applyFill="1" applyBorder="1" applyAlignment="1"/>
    <xf numFmtId="37" fontId="33" fillId="0" borderId="1" xfId="0" applyNumberFormat="1" applyFont="1" applyBorder="1" applyAlignment="1"/>
    <xf numFmtId="0" fontId="33" fillId="0" borderId="0" xfId="23" applyNumberFormat="1" applyFont="1" applyFill="1" applyAlignment="1" applyProtection="1">
      <protection locked="0"/>
    </xf>
    <xf numFmtId="164" fontId="33" fillId="0" borderId="13" xfId="0" applyNumberFormat="1" applyFont="1" applyBorder="1" applyAlignment="1"/>
    <xf numFmtId="0" fontId="33" fillId="0" borderId="0" xfId="23" applyNumberFormat="1" applyFont="1" applyAlignment="1"/>
    <xf numFmtId="3" fontId="33" fillId="0" borderId="11" xfId="0" applyNumberFormat="1" applyFont="1" applyBorder="1" applyAlignment="1"/>
    <xf numFmtId="168" fontId="33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>
      <alignment horizontal="center"/>
    </xf>
    <xf numFmtId="3" fontId="37" fillId="0" borderId="0" xfId="0" applyNumberFormat="1" applyFont="1" applyAlignment="1"/>
    <xf numFmtId="0" fontId="34" fillId="0" borderId="0" xfId="0" applyNumberFormat="1" applyFont="1" applyAlignment="1">
      <alignment horizontal="center"/>
    </xf>
    <xf numFmtId="3" fontId="38" fillId="0" borderId="0" xfId="0" applyNumberFormat="1" applyFont="1" applyAlignment="1"/>
    <xf numFmtId="174" fontId="33" fillId="0" borderId="0" xfId="0" applyNumberFormat="1" applyFont="1" applyFill="1" applyAlignment="1">
      <alignment horizontal="left"/>
    </xf>
    <xf numFmtId="173" fontId="33" fillId="0" borderId="0" xfId="0" applyNumberFormat="1" applyFont="1" applyFill="1" applyAlignment="1"/>
    <xf numFmtId="0" fontId="33" fillId="0" borderId="0" xfId="23" applyNumberFormat="1" applyFont="1" applyAlignment="1" applyProtection="1">
      <alignment horizontal="center"/>
      <protection locked="0"/>
    </xf>
    <xf numFmtId="164" fontId="33" fillId="0" borderId="0" xfId="23" applyFont="1" applyAlignment="1"/>
    <xf numFmtId="3" fontId="33" fillId="0" borderId="0" xfId="23" applyNumberFormat="1" applyFont="1" applyAlignment="1"/>
    <xf numFmtId="173" fontId="33" fillId="0" borderId="0" xfId="23" applyNumberFormat="1" applyFont="1" applyAlignment="1"/>
    <xf numFmtId="170" fontId="33" fillId="0" borderId="0" xfId="0" applyNumberFormat="1" applyFont="1" applyFill="1" applyAlignment="1">
      <alignment horizontal="right"/>
    </xf>
    <xf numFmtId="170" fontId="33" fillId="0" borderId="0" xfId="0" applyNumberFormat="1" applyFont="1" applyAlignment="1">
      <alignment horizontal="center"/>
    </xf>
    <xf numFmtId="168" fontId="33" fillId="0" borderId="0" xfId="0" applyNumberFormat="1" applyFont="1" applyAlignment="1">
      <alignment horizontal="left"/>
    </xf>
    <xf numFmtId="10" fontId="33" fillId="0" borderId="0" xfId="0" applyNumberFormat="1" applyFont="1" applyFill="1" applyAlignment="1">
      <alignment horizontal="right"/>
    </xf>
    <xf numFmtId="175" fontId="33" fillId="0" borderId="0" xfId="0" applyNumberFormat="1" applyFont="1" applyFill="1" applyAlignment="1">
      <alignment horizontal="right"/>
    </xf>
    <xf numFmtId="3" fontId="36" fillId="0" borderId="0" xfId="0" applyNumberFormat="1" applyFont="1" applyAlignment="1"/>
    <xf numFmtId="10" fontId="33" fillId="0" borderId="0" xfId="0" applyNumberFormat="1" applyFont="1" applyAlignment="1">
      <alignment horizontal="left"/>
    </xf>
    <xf numFmtId="37" fontId="33" fillId="0" borderId="13" xfId="0" applyNumberFormat="1" applyFont="1" applyBorder="1" applyAlignment="1"/>
    <xf numFmtId="168" fontId="33" fillId="0" borderId="0" xfId="0" applyNumberFormat="1" applyFont="1" applyAlignment="1" applyProtection="1">
      <alignment horizontal="left"/>
      <protection locked="0"/>
    </xf>
    <xf numFmtId="3" fontId="33" fillId="0" borderId="0" xfId="0" applyNumberFormat="1" applyFont="1" applyFill="1" applyAlignment="1">
      <alignment horizontal="right"/>
    </xf>
    <xf numFmtId="176" fontId="33" fillId="0" borderId="0" xfId="0" applyNumberFormat="1" applyFont="1" applyAlignment="1"/>
    <xf numFmtId="3" fontId="33" fillId="5" borderId="0" xfId="0" applyNumberFormat="1" applyFont="1" applyFill="1" applyBorder="1" applyAlignment="1"/>
    <xf numFmtId="3" fontId="33" fillId="5" borderId="0" xfId="0" applyNumberFormat="1" applyFont="1" applyFill="1" applyAlignment="1"/>
    <xf numFmtId="3" fontId="33" fillId="0" borderId="14" xfId="0" applyNumberFormat="1" applyFont="1" applyBorder="1" applyAlignment="1"/>
    <xf numFmtId="0" fontId="33" fillId="0" borderId="0" xfId="0" applyNumberFormat="1" applyFont="1" applyFill="1" applyAlignment="1" applyProtection="1">
      <protection locked="0"/>
    </xf>
    <xf numFmtId="0" fontId="33" fillId="0" borderId="13" xfId="0" applyNumberFormat="1" applyFont="1" applyFill="1" applyBorder="1" applyProtection="1">
      <protection locked="0"/>
    </xf>
    <xf numFmtId="0" fontId="33" fillId="0" borderId="13" xfId="0" applyNumberFormat="1" applyFont="1" applyFill="1" applyBorder="1"/>
    <xf numFmtId="3" fontId="33" fillId="0" borderId="13" xfId="0" applyNumberFormat="1" applyFont="1" applyFill="1" applyBorder="1" applyAlignment="1"/>
    <xf numFmtId="3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Border="1" applyAlignment="1"/>
    <xf numFmtId="49" fontId="33" fillId="0" borderId="0" xfId="0" applyNumberFormat="1" applyFont="1" applyFill="1"/>
    <xf numFmtId="49" fontId="33" fillId="0" borderId="0" xfId="0" applyNumberFormat="1" applyFont="1" applyFill="1" applyAlignment="1"/>
    <xf numFmtId="49" fontId="33" fillId="0" borderId="0" xfId="0" applyNumberFormat="1" applyFont="1" applyFill="1" applyAlignment="1">
      <alignment horizontal="center"/>
    </xf>
    <xf numFmtId="164" fontId="39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164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77" fontId="0" fillId="0" borderId="0" xfId="22" applyNumberFormat="1" applyFont="1" applyFill="1" applyBorder="1" applyAlignment="1"/>
    <xf numFmtId="3" fontId="35" fillId="0" borderId="0" xfId="0" applyNumberFormat="1" applyFont="1" applyFill="1" applyBorder="1" applyAlignment="1"/>
    <xf numFmtId="178" fontId="0" fillId="0" borderId="0" xfId="21" applyNumberFormat="1" applyFont="1" applyFill="1" applyBorder="1" applyAlignment="1"/>
    <xf numFmtId="164" fontId="35" fillId="0" borderId="0" xfId="0" applyNumberFormat="1" applyFont="1" applyFill="1" applyBorder="1" applyAlignment="1"/>
    <xf numFmtId="164" fontId="40" fillId="0" borderId="0" xfId="0" applyNumberFormat="1" applyFont="1" applyFill="1" applyBorder="1" applyAlignment="1"/>
    <xf numFmtId="164" fontId="41" fillId="0" borderId="0" xfId="0" applyNumberFormat="1" applyFont="1" applyFill="1" applyBorder="1"/>
    <xf numFmtId="164" fontId="35" fillId="0" borderId="0" xfId="0" applyNumberFormat="1" applyFont="1" applyFill="1" applyBorder="1"/>
    <xf numFmtId="173" fontId="33" fillId="0" borderId="0" xfId="0" applyNumberFormat="1" applyFont="1" applyFill="1"/>
    <xf numFmtId="170" fontId="33" fillId="0" borderId="0" xfId="0" applyNumberFormat="1" applyFont="1" applyFill="1"/>
    <xf numFmtId="3" fontId="33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 wrapText="1"/>
    </xf>
    <xf numFmtId="3" fontId="33" fillId="0" borderId="13" xfId="0" applyNumberFormat="1" applyFont="1" applyBorder="1" applyAlignment="1">
      <alignment horizontal="center"/>
    </xf>
    <xf numFmtId="4" fontId="33" fillId="0" borderId="0" xfId="0" applyNumberFormat="1" applyFont="1" applyAlignment="1"/>
    <xf numFmtId="3" fontId="33" fillId="0" borderId="0" xfId="0" applyNumberFormat="1" applyFont="1" applyBorder="1" applyAlignment="1">
      <alignment horizontal="center"/>
    </xf>
    <xf numFmtId="170" fontId="33" fillId="0" borderId="0" xfId="0" applyNumberFormat="1" applyFont="1" applyAlignment="1" applyProtection="1">
      <alignment horizontal="center"/>
      <protection locked="0"/>
    </xf>
    <xf numFmtId="170" fontId="33" fillId="0" borderId="0" xfId="0" applyNumberFormat="1" applyFont="1" applyFill="1" applyAlignment="1"/>
    <xf numFmtId="0" fontId="33" fillId="0" borderId="13" xfId="0" applyNumberFormat="1" applyFont="1" applyBorder="1" applyAlignment="1"/>
    <xf numFmtId="0" fontId="24" fillId="0" borderId="0" xfId="0" applyNumberFormat="1" applyFont="1" applyAlignment="1"/>
    <xf numFmtId="3" fontId="24" fillId="0" borderId="0" xfId="0" applyNumberFormat="1" applyFont="1" applyAlignment="1"/>
    <xf numFmtId="179" fontId="33" fillId="4" borderId="0" xfId="0" applyNumberFormat="1" applyFont="1" applyFill="1" applyAlignment="1"/>
    <xf numFmtId="42" fontId="33" fillId="4" borderId="0" xfId="0" applyNumberFormat="1" applyFont="1" applyFill="1" applyAlignment="1"/>
    <xf numFmtId="3" fontId="33" fillId="0" borderId="0" xfId="0" applyNumberFormat="1" applyFont="1" applyFill="1" applyAlignment="1" applyProtection="1">
      <protection locked="0"/>
    </xf>
    <xf numFmtId="9" fontId="33" fillId="0" borderId="0" xfId="0" applyNumberFormat="1" applyFont="1" applyAlignment="1"/>
    <xf numFmtId="175" fontId="33" fillId="0" borderId="0" xfId="0" applyNumberFormat="1" applyFont="1" applyAlignment="1"/>
    <xf numFmtId="3" fontId="33" fillId="0" borderId="0" xfId="0" quotePrefix="1" applyNumberFormat="1" applyFont="1" applyAlignment="1"/>
    <xf numFmtId="175" fontId="33" fillId="4" borderId="0" xfId="0" applyNumberFormat="1" applyFont="1" applyFill="1" applyAlignment="1"/>
    <xf numFmtId="175" fontId="33" fillId="0" borderId="13" xfId="0" applyNumberFormat="1" applyFont="1" applyBorder="1" applyAlignment="1"/>
    <xf numFmtId="0" fontId="33" fillId="0" borderId="0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Protection="1">
      <protection locked="0"/>
    </xf>
    <xf numFmtId="164" fontId="42" fillId="0" borderId="0" xfId="0" applyNumberFormat="1" applyFont="1" applyAlignment="1"/>
    <xf numFmtId="164" fontId="33" fillId="0" borderId="0" xfId="0" applyNumberFormat="1" applyFont="1" applyFill="1" applyAlignment="1" applyProtection="1"/>
    <xf numFmtId="38" fontId="33" fillId="4" borderId="0" xfId="0" applyNumberFormat="1" applyFont="1" applyFill="1" applyBorder="1" applyProtection="1">
      <protection locked="0"/>
    </xf>
    <xf numFmtId="38" fontId="33" fillId="0" borderId="0" xfId="0" applyNumberFormat="1" applyFont="1" applyAlignment="1" applyProtection="1"/>
    <xf numFmtId="0" fontId="33" fillId="0" borderId="13" xfId="0" applyNumberFormat="1" applyFont="1" applyBorder="1"/>
    <xf numFmtId="0" fontId="33" fillId="0" borderId="13" xfId="0" applyNumberFormat="1" applyFont="1" applyBorder="1" applyProtection="1">
      <protection locked="0"/>
    </xf>
    <xf numFmtId="38" fontId="33" fillId="4" borderId="13" xfId="0" applyNumberFormat="1" applyFont="1" applyFill="1" applyBorder="1" applyProtection="1">
      <protection locked="0"/>
    </xf>
    <xf numFmtId="38" fontId="33" fillId="0" borderId="0" xfId="0" applyNumberFormat="1" applyFont="1" applyAlignment="1"/>
    <xf numFmtId="38" fontId="33" fillId="0" borderId="0" xfId="0" applyNumberFormat="1" applyFont="1" applyFill="1" applyBorder="1" applyProtection="1"/>
    <xf numFmtId="179" fontId="33" fillId="0" borderId="0" xfId="0" applyNumberFormat="1" applyFont="1" applyFill="1" applyBorder="1" applyProtection="1"/>
    <xf numFmtId="1" fontId="33" fillId="0" borderId="0" xfId="0" applyNumberFormat="1" applyFont="1" applyFill="1" applyProtection="1"/>
    <xf numFmtId="171" fontId="33" fillId="0" borderId="0" xfId="0" applyNumberFormat="1" applyFont="1" applyProtection="1">
      <protection locked="0"/>
    </xf>
    <xf numFmtId="179" fontId="33" fillId="4" borderId="0" xfId="0" applyNumberFormat="1" applyFont="1" applyFill="1" applyBorder="1" applyProtection="1"/>
    <xf numFmtId="1" fontId="33" fillId="0" borderId="0" xfId="0" applyNumberFormat="1" applyFont="1" applyFill="1" applyBorder="1" applyProtection="1"/>
    <xf numFmtId="3" fontId="43" fillId="0" borderId="0" xfId="0" applyNumberFormat="1" applyFont="1" applyBorder="1" applyAlignment="1">
      <alignment horizontal="left"/>
    </xf>
    <xf numFmtId="179" fontId="33" fillId="4" borderId="0" xfId="0" applyNumberFormat="1" applyFont="1" applyFill="1" applyBorder="1" applyAlignment="1" applyProtection="1">
      <protection locked="0"/>
    </xf>
    <xf numFmtId="3" fontId="33" fillId="0" borderId="0" xfId="0" applyNumberFormat="1" applyFont="1" applyAlignment="1" applyProtection="1"/>
    <xf numFmtId="0" fontId="33" fillId="0" borderId="0" xfId="0" applyNumberFormat="1" applyFont="1" applyBorder="1" applyAlignment="1" applyProtection="1">
      <protection locked="0"/>
    </xf>
    <xf numFmtId="0" fontId="33" fillId="0" borderId="0" xfId="0" applyNumberFormat="1" applyFont="1" applyBorder="1" applyProtection="1">
      <protection locked="0"/>
    </xf>
    <xf numFmtId="0" fontId="33" fillId="0" borderId="13" xfId="0" applyNumberFormat="1" applyFont="1" applyBorder="1" applyAlignment="1" applyProtection="1">
      <protection locked="0"/>
    </xf>
    <xf numFmtId="179" fontId="33" fillId="4" borderId="13" xfId="0" applyNumberFormat="1" applyFont="1" applyFill="1" applyBorder="1" applyAlignment="1" applyProtection="1">
      <protection locked="0"/>
    </xf>
    <xf numFmtId="164" fontId="33" fillId="0" borderId="0" xfId="23" applyNumberFormat="1" applyFont="1" applyAlignment="1" applyProtection="1">
      <protection locked="0"/>
    </xf>
    <xf numFmtId="179" fontId="33" fillId="0" borderId="0" xfId="0" applyNumberFormat="1" applyFont="1" applyFill="1" applyBorder="1" applyAlignment="1" applyProtection="1"/>
    <xf numFmtId="164" fontId="33" fillId="0" borderId="0" xfId="0" applyNumberFormat="1" applyFont="1" applyAlignment="1" applyProtection="1">
      <protection locked="0"/>
    </xf>
    <xf numFmtId="3" fontId="33" fillId="0" borderId="0" xfId="0" applyNumberFormat="1" applyFont="1" applyFill="1" applyBorder="1" applyAlignment="1" applyProtection="1"/>
    <xf numFmtId="179" fontId="33" fillId="0" borderId="0" xfId="0" applyNumberFormat="1" applyFont="1" applyProtection="1">
      <protection locked="0"/>
    </xf>
    <xf numFmtId="3" fontId="33" fillId="0" borderId="0" xfId="0" applyNumberFormat="1" applyFont="1" applyFill="1" applyAlignment="1" applyProtection="1"/>
    <xf numFmtId="10" fontId="33" fillId="4" borderId="0" xfId="0" applyNumberFormat="1" applyFont="1" applyFill="1" applyProtection="1">
      <protection locked="0"/>
    </xf>
    <xf numFmtId="0" fontId="43" fillId="0" borderId="0" xfId="0" applyNumberFormat="1" applyFont="1" applyFill="1" applyAlignment="1" applyProtection="1">
      <alignment horizontal="left"/>
      <protection locked="0"/>
    </xf>
    <xf numFmtId="0" fontId="44" fillId="0" borderId="0" xfId="0" applyNumberFormat="1" applyFont="1" applyFill="1" applyProtection="1">
      <protection locked="0"/>
    </xf>
    <xf numFmtId="10" fontId="33" fillId="0" borderId="0" xfId="0" applyNumberFormat="1" applyFont="1" applyFill="1"/>
    <xf numFmtId="164" fontId="33" fillId="0" borderId="0" xfId="0" applyNumberFormat="1" applyFont="1" applyFill="1" applyAlignment="1">
      <alignment horizontal="center"/>
    </xf>
    <xf numFmtId="0" fontId="33" fillId="0" borderId="0" xfId="23" applyNumberFormat="1" applyFont="1"/>
    <xf numFmtId="164" fontId="33" fillId="0" borderId="0" xfId="23" applyFont="1" applyFill="1" applyAlignment="1">
      <alignment horizontal="center"/>
    </xf>
    <xf numFmtId="164" fontId="33" fillId="0" borderId="0" xfId="23" applyFont="1" applyFill="1" applyAlignment="1">
      <alignment horizontal="center" vertical="top" wrapText="1"/>
    </xf>
    <xf numFmtId="164" fontId="33" fillId="0" borderId="0" xfId="23" applyFont="1" applyAlignment="1">
      <alignment horizontal="center"/>
    </xf>
    <xf numFmtId="0" fontId="33" fillId="0" borderId="0" xfId="23" applyNumberFormat="1" applyFont="1" applyFill="1" applyAlignment="1">
      <alignment horizontal="left" indent="2"/>
    </xf>
    <xf numFmtId="37" fontId="45" fillId="0" borderId="0" xfId="23" applyNumberFormat="1" applyFont="1" applyFill="1" applyAlignment="1"/>
    <xf numFmtId="37" fontId="45" fillId="0" borderId="1" xfId="23" applyNumberFormat="1" applyFont="1" applyFill="1" applyBorder="1" applyAlignment="1"/>
    <xf numFmtId="164" fontId="33" fillId="0" borderId="0" xfId="23" applyFont="1" applyFill="1" applyAlignment="1">
      <alignment horizontal="left" indent="2"/>
    </xf>
    <xf numFmtId="180" fontId="45" fillId="0" borderId="1" xfId="23" applyNumberFormat="1" applyFont="1" applyFill="1" applyBorder="1" applyAlignment="1"/>
    <xf numFmtId="37" fontId="33" fillId="0" borderId="0" xfId="23" applyNumberFormat="1" applyFont="1" applyFill="1" applyAlignment="1"/>
    <xf numFmtId="0" fontId="63" fillId="0" borderId="0" xfId="0" applyFont="1" applyAlignment="1">
      <alignment horizontal="centerContinuous"/>
    </xf>
    <xf numFmtId="0" fontId="1" fillId="0" borderId="0" xfId="0" applyFont="1"/>
    <xf numFmtId="0" fontId="33" fillId="0" borderId="0" xfId="23" applyNumberFormat="1" applyFont="1" applyFill="1" applyAlignment="1">
      <alignment horizontal="left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3" fillId="0" borderId="0" xfId="23" applyNumberFormat="1" applyFont="1" applyFill="1" applyAlignment="1">
      <alignment vertical="top" wrapText="1"/>
    </xf>
  </cellXfs>
  <cellStyles count="66"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Comma" xfId="21" builtinId="3"/>
    <cellStyle name="Comma 2" xfId="1"/>
    <cellStyle name="Comma 2 2" xfId="11"/>
    <cellStyle name="Comma 3" xfId="2"/>
    <cellStyle name="Comma 4" xfId="12"/>
    <cellStyle name="Comma 5" xfId="13"/>
    <cellStyle name="Currency" xfId="22" builtinId="4"/>
    <cellStyle name="Currency 2" xfId="3"/>
    <cellStyle name="Currency 3" xfId="4"/>
    <cellStyle name="Currency 4" xfId="14"/>
    <cellStyle name="Currency 5" xfId="15"/>
    <cellStyle name="Currency 8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2" xfId="5"/>
    <cellStyle name="Normal 2 2" xfId="16"/>
    <cellStyle name="Normal 2 3" xfId="17"/>
    <cellStyle name="Normal 3" xfId="6"/>
    <cellStyle name="Normal 3 2" xfId="18"/>
    <cellStyle name="Normal 4" xfId="7"/>
    <cellStyle name="Normal 4 2" xfId="8"/>
    <cellStyle name="Normal 5" xfId="9"/>
    <cellStyle name="Normal 5 2" xfId="20"/>
    <cellStyle name="Normal 6" xfId="19"/>
    <cellStyle name="Normal_Attachment O &amp; GG Final 11_11_09" xfId="23"/>
    <cellStyle name="Note 2" xfId="61"/>
    <cellStyle name="Output 2" xfId="62"/>
    <cellStyle name="Percent 2" xfId="10"/>
    <cellStyle name="Title 2" xfId="63"/>
    <cellStyle name="Total 2" xfId="64"/>
    <cellStyle name="Warning Text 2" xfId="6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abSelected="1" workbookViewId="0"/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790</v>
      </c>
      <c r="B7" s="4"/>
      <c r="C7" s="4"/>
      <c r="D7" s="4"/>
      <c r="E7" s="4"/>
      <c r="F7" s="4"/>
      <c r="G7" s="4"/>
      <c r="H7" s="4"/>
      <c r="I7" s="4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workbookViewId="0"/>
  </sheetViews>
  <sheetFormatPr defaultRowHeight="12.75"/>
  <cols>
    <col min="1" max="1" width="13.140625" style="21" customWidth="1"/>
    <col min="2" max="2" width="1" style="8" customWidth="1"/>
    <col min="3" max="3" width="11.7109375" style="8" bestFit="1" customWidth="1"/>
    <col min="4" max="4" width="1.7109375" style="18" customWidth="1"/>
    <col min="5" max="5" width="11.7109375" style="8" bestFit="1" customWidth="1"/>
    <col min="6" max="6" width="1.7109375" style="18" customWidth="1"/>
    <col min="7" max="7" width="11.7109375" style="8" bestFit="1" customWidth="1"/>
    <col min="8" max="8" width="2.7109375" style="18" customWidth="1"/>
    <col min="9" max="9" width="11.7109375" style="8" bestFit="1" customWidth="1"/>
    <col min="10" max="10" width="1.85546875" style="18" customWidth="1"/>
    <col min="11" max="11" width="11.7109375" style="8" bestFit="1" customWidth="1"/>
    <col min="12" max="12" width="1.85546875" style="18" customWidth="1"/>
    <col min="13" max="13" width="11.7109375" style="8" bestFit="1" customWidth="1"/>
    <col min="14" max="14" width="2.7109375" style="18" customWidth="1"/>
    <col min="15" max="15" width="10.7109375" style="8" bestFit="1" customWidth="1"/>
    <col min="16" max="16" width="1.7109375" style="18" customWidth="1"/>
    <col min="17" max="17" width="9.140625" style="8" bestFit="1" customWidth="1"/>
    <col min="18" max="18" width="1.42578125" style="18" customWidth="1"/>
    <col min="19" max="19" width="10.7109375" style="8" bestFit="1" customWidth="1"/>
    <col min="20" max="20" width="1.85546875" style="8" customWidth="1"/>
    <col min="21" max="21" width="12.7109375" style="8" bestFit="1" customWidth="1"/>
    <col min="22" max="22" width="11.7109375" style="8" bestFit="1" customWidth="1"/>
    <col min="23" max="23" width="10.140625" style="8" bestFit="1" customWidth="1"/>
    <col min="24" max="16384" width="9.140625" style="8"/>
  </cols>
  <sheetData>
    <row r="1" spans="1:21">
      <c r="A1" s="5" t="s">
        <v>0</v>
      </c>
      <c r="B1" s="6"/>
      <c r="C1" s="6"/>
      <c r="D1" s="7"/>
      <c r="E1" s="6"/>
      <c r="F1" s="7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5" t="s">
        <v>84</v>
      </c>
      <c r="B3" s="6"/>
      <c r="C3" s="6"/>
      <c r="D3" s="7"/>
      <c r="E3" s="6"/>
      <c r="F3" s="7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5" t="str">
        <f>'General Plant'!A4</f>
        <v>Thirteen Months Ended December 31, 2014</v>
      </c>
      <c r="B4" s="6"/>
      <c r="C4" s="6"/>
      <c r="D4" s="7"/>
      <c r="E4" s="6"/>
      <c r="F4" s="7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6" spans="1:21">
      <c r="C6" s="9"/>
    </row>
    <row r="7" spans="1:21">
      <c r="C7" s="62" t="s">
        <v>82</v>
      </c>
      <c r="D7" s="22"/>
      <c r="E7" s="22"/>
      <c r="F7" s="22"/>
      <c r="G7" s="22"/>
      <c r="I7" s="63" t="s">
        <v>89</v>
      </c>
      <c r="J7" s="22"/>
      <c r="K7" s="22"/>
      <c r="L7" s="22"/>
      <c r="M7" s="22"/>
      <c r="O7" s="63" t="s">
        <v>90</v>
      </c>
      <c r="P7" s="22"/>
      <c r="Q7" s="22"/>
      <c r="R7" s="22"/>
      <c r="S7" s="22"/>
      <c r="U7" s="65" t="s">
        <v>91</v>
      </c>
    </row>
    <row r="8" spans="1:21">
      <c r="C8" s="10" t="s">
        <v>25</v>
      </c>
      <c r="E8" s="10" t="s">
        <v>25</v>
      </c>
      <c r="G8" s="10" t="s">
        <v>10</v>
      </c>
      <c r="I8" s="10" t="s">
        <v>25</v>
      </c>
      <c r="K8" s="10" t="s">
        <v>25</v>
      </c>
      <c r="M8" s="10" t="s">
        <v>10</v>
      </c>
      <c r="O8" s="10" t="s">
        <v>25</v>
      </c>
      <c r="Q8" s="10" t="s">
        <v>25</v>
      </c>
      <c r="S8" s="10" t="s">
        <v>10</v>
      </c>
      <c r="U8" s="57" t="s">
        <v>85</v>
      </c>
    </row>
    <row r="9" spans="1:21">
      <c r="C9" s="12" t="s">
        <v>24</v>
      </c>
      <c r="E9" s="12" t="s">
        <v>9</v>
      </c>
      <c r="G9" s="12" t="s">
        <v>25</v>
      </c>
      <c r="I9" s="12" t="s">
        <v>24</v>
      </c>
      <c r="K9" s="12" t="s">
        <v>9</v>
      </c>
      <c r="M9" s="12" t="s">
        <v>25</v>
      </c>
      <c r="O9" s="12" t="s">
        <v>24</v>
      </c>
      <c r="Q9" s="12" t="s">
        <v>9</v>
      </c>
      <c r="S9" s="12" t="s">
        <v>25</v>
      </c>
      <c r="U9" s="12" t="s">
        <v>25</v>
      </c>
    </row>
    <row r="10" spans="1:21">
      <c r="A10" s="13" t="str">
        <f>'Plant in Service'!A9</f>
        <v>December 2013</v>
      </c>
      <c r="C10" s="48">
        <v>35082487</v>
      </c>
      <c r="D10" s="49"/>
      <c r="E10" s="48">
        <v>24500530</v>
      </c>
      <c r="F10" s="15"/>
      <c r="G10" s="14">
        <v>59583017</v>
      </c>
      <c r="H10" s="49"/>
      <c r="I10" s="48">
        <v>24993129</v>
      </c>
      <c r="J10" s="49"/>
      <c r="K10" s="48">
        <v>29108174</v>
      </c>
      <c r="L10" s="15"/>
      <c r="M10" s="14">
        <v>54101303</v>
      </c>
      <c r="N10" s="49"/>
      <c r="O10" s="48">
        <v>1121853</v>
      </c>
      <c r="P10" s="49"/>
      <c r="Q10" s="48">
        <v>935404</v>
      </c>
      <c r="R10" s="15"/>
      <c r="S10" s="14">
        <v>2057257</v>
      </c>
      <c r="T10" s="14"/>
      <c r="U10" s="14">
        <f>G10+M10+S10</f>
        <v>115741577</v>
      </c>
    </row>
    <row r="11" spans="1:21">
      <c r="A11" s="13" t="str">
        <f>'Plant in Service'!A10</f>
        <v>January 2014</v>
      </c>
      <c r="C11" s="50">
        <v>34958919</v>
      </c>
      <c r="D11" s="51"/>
      <c r="E11" s="50">
        <v>24634341</v>
      </c>
      <c r="F11" s="17"/>
      <c r="G11" s="16">
        <v>59593260</v>
      </c>
      <c r="H11" s="60"/>
      <c r="I11" s="50">
        <v>25697698</v>
      </c>
      <c r="J11" s="51"/>
      <c r="K11" s="50">
        <v>29169228</v>
      </c>
      <c r="L11" s="17"/>
      <c r="M11" s="16">
        <v>54866926</v>
      </c>
      <c r="N11" s="60"/>
      <c r="O11" s="50">
        <v>1113167</v>
      </c>
      <c r="P11" s="51"/>
      <c r="Q11" s="50">
        <v>933133</v>
      </c>
      <c r="R11" s="17"/>
      <c r="S11" s="16">
        <v>2046300</v>
      </c>
      <c r="U11" s="16">
        <f t="shared" ref="U11:U22" si="0">G11+M11+S11</f>
        <v>116506486</v>
      </c>
    </row>
    <row r="12" spans="1:21">
      <c r="A12" s="13" t="s">
        <v>11</v>
      </c>
      <c r="C12" s="50">
        <v>34558375</v>
      </c>
      <c r="D12" s="51"/>
      <c r="E12" s="50">
        <v>24709670</v>
      </c>
      <c r="F12" s="17"/>
      <c r="G12" s="16">
        <v>59268045</v>
      </c>
      <c r="H12" s="60"/>
      <c r="I12" s="50">
        <v>25361932</v>
      </c>
      <c r="J12" s="51"/>
      <c r="K12" s="50">
        <v>29318440</v>
      </c>
      <c r="L12" s="17"/>
      <c r="M12" s="16">
        <v>54680372</v>
      </c>
      <c r="N12" s="60"/>
      <c r="O12" s="50">
        <v>1090508</v>
      </c>
      <c r="P12" s="51"/>
      <c r="Q12" s="50">
        <v>933580</v>
      </c>
      <c r="R12" s="17"/>
      <c r="S12" s="16">
        <v>2024088</v>
      </c>
      <c r="U12" s="16">
        <f t="shared" si="0"/>
        <v>115972505</v>
      </c>
    </row>
    <row r="13" spans="1:21">
      <c r="A13" s="13" t="s">
        <v>12</v>
      </c>
      <c r="C13" s="50">
        <v>34543357</v>
      </c>
      <c r="D13" s="51"/>
      <c r="E13" s="50">
        <v>24708653</v>
      </c>
      <c r="F13" s="17"/>
      <c r="G13" s="16">
        <v>59252010</v>
      </c>
      <c r="H13" s="60"/>
      <c r="I13" s="50">
        <v>25359759</v>
      </c>
      <c r="J13" s="51"/>
      <c r="K13" s="50">
        <v>29504312</v>
      </c>
      <c r="L13" s="17"/>
      <c r="M13" s="16">
        <v>54864071</v>
      </c>
      <c r="N13" s="60"/>
      <c r="O13" s="50">
        <v>1085525</v>
      </c>
      <c r="P13" s="51"/>
      <c r="Q13" s="50">
        <v>917968</v>
      </c>
      <c r="R13" s="17"/>
      <c r="S13" s="16">
        <v>2003493</v>
      </c>
      <c r="U13" s="16">
        <f t="shared" si="0"/>
        <v>116119574</v>
      </c>
    </row>
    <row r="14" spans="1:21">
      <c r="A14" s="13" t="s">
        <v>13</v>
      </c>
      <c r="C14" s="50">
        <v>34093146</v>
      </c>
      <c r="D14" s="51"/>
      <c r="E14" s="50">
        <v>24708654</v>
      </c>
      <c r="F14" s="17"/>
      <c r="G14" s="16">
        <v>58801800</v>
      </c>
      <c r="H14" s="60"/>
      <c r="I14" s="50">
        <v>25038314</v>
      </c>
      <c r="J14" s="51"/>
      <c r="K14" s="50">
        <v>29504312</v>
      </c>
      <c r="L14" s="17"/>
      <c r="M14" s="16">
        <v>54542626</v>
      </c>
      <c r="N14" s="60"/>
      <c r="O14" s="50">
        <v>1051504</v>
      </c>
      <c r="P14" s="51"/>
      <c r="Q14" s="50">
        <v>917968</v>
      </c>
      <c r="R14" s="17"/>
      <c r="S14" s="16">
        <v>1969472</v>
      </c>
      <c r="U14" s="16">
        <f t="shared" si="0"/>
        <v>115313898</v>
      </c>
    </row>
    <row r="15" spans="1:21">
      <c r="A15" s="13" t="s">
        <v>14</v>
      </c>
      <c r="C15" s="50">
        <v>34309178</v>
      </c>
      <c r="D15" s="51"/>
      <c r="E15" s="50">
        <v>21002553</v>
      </c>
      <c r="F15" s="17"/>
      <c r="G15" s="16">
        <v>55311731</v>
      </c>
      <c r="H15" s="60"/>
      <c r="I15" s="50">
        <v>25126515</v>
      </c>
      <c r="J15" s="51"/>
      <c r="K15" s="50">
        <v>27077320</v>
      </c>
      <c r="L15" s="17"/>
      <c r="M15" s="16">
        <v>52203835</v>
      </c>
      <c r="N15" s="60"/>
      <c r="O15" s="50">
        <v>1050047</v>
      </c>
      <c r="P15" s="51"/>
      <c r="Q15" s="50">
        <v>643596</v>
      </c>
      <c r="R15" s="17"/>
      <c r="S15" s="16">
        <v>1693643</v>
      </c>
      <c r="U15" s="16">
        <f t="shared" si="0"/>
        <v>109209209</v>
      </c>
    </row>
    <row r="16" spans="1:21">
      <c r="A16" s="13" t="s">
        <v>15</v>
      </c>
      <c r="C16" s="50">
        <v>34538719</v>
      </c>
      <c r="D16" s="51"/>
      <c r="E16" s="50">
        <v>21069302</v>
      </c>
      <c r="F16" s="17"/>
      <c r="G16" s="16">
        <v>55608021</v>
      </c>
      <c r="H16" s="60"/>
      <c r="I16" s="50">
        <v>25224600</v>
      </c>
      <c r="J16" s="51"/>
      <c r="K16" s="50">
        <v>27207100</v>
      </c>
      <c r="L16" s="17"/>
      <c r="M16" s="16">
        <v>52431700</v>
      </c>
      <c r="N16" s="60"/>
      <c r="O16" s="50">
        <v>1050988</v>
      </c>
      <c r="P16" s="51"/>
      <c r="Q16" s="50">
        <v>644087</v>
      </c>
      <c r="R16" s="17"/>
      <c r="S16" s="16">
        <v>1695075</v>
      </c>
      <c r="U16" s="16">
        <f t="shared" si="0"/>
        <v>109734796</v>
      </c>
    </row>
    <row r="17" spans="1:21">
      <c r="A17" s="13" t="s">
        <v>16</v>
      </c>
      <c r="C17" s="50">
        <v>41849580</v>
      </c>
      <c r="D17" s="51"/>
      <c r="E17" s="50">
        <v>21161921</v>
      </c>
      <c r="F17" s="17"/>
      <c r="G17" s="16">
        <v>63011501</v>
      </c>
      <c r="H17" s="60"/>
      <c r="I17" s="50">
        <v>28167230</v>
      </c>
      <c r="J17" s="51"/>
      <c r="K17" s="50">
        <v>27373209</v>
      </c>
      <c r="L17" s="17"/>
      <c r="M17" s="16">
        <v>55540439</v>
      </c>
      <c r="N17" s="60"/>
      <c r="O17" s="50">
        <v>1050653</v>
      </c>
      <c r="P17" s="51"/>
      <c r="Q17" s="50">
        <v>645491</v>
      </c>
      <c r="R17" s="17"/>
      <c r="S17" s="16">
        <v>1696144</v>
      </c>
      <c r="U17" s="16">
        <f t="shared" si="0"/>
        <v>120248084</v>
      </c>
    </row>
    <row r="18" spans="1:21">
      <c r="A18" s="13" t="s">
        <v>17</v>
      </c>
      <c r="C18" s="50">
        <v>42371918</v>
      </c>
      <c r="D18" s="51"/>
      <c r="E18" s="50">
        <v>21232028</v>
      </c>
      <c r="F18" s="17"/>
      <c r="G18" s="16">
        <v>63603946</v>
      </c>
      <c r="H18" s="60"/>
      <c r="I18" s="50">
        <v>28401552</v>
      </c>
      <c r="J18" s="51"/>
      <c r="K18" s="50">
        <v>27516742</v>
      </c>
      <c r="L18" s="17"/>
      <c r="M18" s="16">
        <v>55918294</v>
      </c>
      <c r="N18" s="60"/>
      <c r="O18" s="50">
        <v>1056177</v>
      </c>
      <c r="P18" s="51"/>
      <c r="Q18" s="50">
        <v>645634</v>
      </c>
      <c r="R18" s="17"/>
      <c r="S18" s="16">
        <v>1701811</v>
      </c>
      <c r="U18" s="16">
        <f t="shared" si="0"/>
        <v>121224051</v>
      </c>
    </row>
    <row r="19" spans="1:21">
      <c r="A19" s="13" t="s">
        <v>18</v>
      </c>
      <c r="C19" s="50">
        <v>42372658</v>
      </c>
      <c r="D19" s="51"/>
      <c r="E19" s="50">
        <v>21302106</v>
      </c>
      <c r="F19" s="17"/>
      <c r="G19" s="16">
        <v>63674764</v>
      </c>
      <c r="H19" s="60"/>
      <c r="I19" s="50">
        <v>28435676</v>
      </c>
      <c r="J19" s="51"/>
      <c r="K19" s="50">
        <v>27648739</v>
      </c>
      <c r="L19" s="17"/>
      <c r="M19" s="16">
        <v>56084415</v>
      </c>
      <c r="N19" s="60"/>
      <c r="O19" s="50">
        <v>1062755</v>
      </c>
      <c r="P19" s="51"/>
      <c r="Q19" s="50">
        <v>646369</v>
      </c>
      <c r="R19" s="17"/>
      <c r="S19" s="16">
        <v>1709124</v>
      </c>
      <c r="U19" s="16">
        <f t="shared" si="0"/>
        <v>121468303</v>
      </c>
    </row>
    <row r="20" spans="1:21">
      <c r="A20" s="13" t="s">
        <v>19</v>
      </c>
      <c r="C20" s="50">
        <v>42581063</v>
      </c>
      <c r="D20" s="51"/>
      <c r="E20" s="50">
        <v>21355360</v>
      </c>
      <c r="F20" s="17"/>
      <c r="G20" s="16">
        <v>63936423</v>
      </c>
      <c r="H20" s="60"/>
      <c r="I20" s="50">
        <v>28523251</v>
      </c>
      <c r="J20" s="51"/>
      <c r="K20" s="50">
        <v>27767154</v>
      </c>
      <c r="L20" s="17"/>
      <c r="M20" s="16">
        <v>56290405</v>
      </c>
      <c r="N20" s="60"/>
      <c r="O20" s="50">
        <v>1058658</v>
      </c>
      <c r="P20" s="51"/>
      <c r="Q20" s="50">
        <v>645992</v>
      </c>
      <c r="R20" s="17"/>
      <c r="S20" s="16">
        <v>1704650</v>
      </c>
      <c r="U20" s="16">
        <f t="shared" si="0"/>
        <v>121931478</v>
      </c>
    </row>
    <row r="21" spans="1:21">
      <c r="A21" s="13" t="s">
        <v>20</v>
      </c>
      <c r="C21" s="50">
        <v>42739271</v>
      </c>
      <c r="D21" s="51"/>
      <c r="E21" s="50">
        <v>21469835</v>
      </c>
      <c r="F21" s="17"/>
      <c r="G21" s="16">
        <v>64209106</v>
      </c>
      <c r="H21" s="60"/>
      <c r="I21" s="50">
        <v>28622986</v>
      </c>
      <c r="J21" s="51"/>
      <c r="K21" s="50">
        <v>27997858</v>
      </c>
      <c r="L21" s="17"/>
      <c r="M21" s="16">
        <v>56620844</v>
      </c>
      <c r="N21" s="60"/>
      <c r="O21" s="50">
        <v>1055597</v>
      </c>
      <c r="P21" s="51"/>
      <c r="Q21" s="50">
        <v>646414</v>
      </c>
      <c r="R21" s="17"/>
      <c r="S21" s="16">
        <v>1702011</v>
      </c>
      <c r="U21" s="16">
        <f t="shared" si="0"/>
        <v>122531961</v>
      </c>
    </row>
    <row r="22" spans="1:21">
      <c r="A22" s="13" t="s">
        <v>21</v>
      </c>
      <c r="C22" s="50">
        <v>44840665</v>
      </c>
      <c r="D22" s="51"/>
      <c r="E22" s="50">
        <v>21832944</v>
      </c>
      <c r="F22" s="17"/>
      <c r="G22" s="16">
        <v>66673609</v>
      </c>
      <c r="H22" s="60"/>
      <c r="I22" s="50">
        <v>29525137</v>
      </c>
      <c r="J22" s="51"/>
      <c r="K22" s="50">
        <v>28384801</v>
      </c>
      <c r="L22" s="17"/>
      <c r="M22" s="16">
        <v>57909938</v>
      </c>
      <c r="N22" s="60"/>
      <c r="O22" s="50">
        <v>1070189</v>
      </c>
      <c r="P22" s="51"/>
      <c r="Q22" s="50">
        <v>665583</v>
      </c>
      <c r="R22" s="17"/>
      <c r="S22" s="16">
        <v>1735772</v>
      </c>
      <c r="U22" s="16">
        <f t="shared" si="0"/>
        <v>126319319</v>
      </c>
    </row>
    <row r="26" spans="1:21">
      <c r="C26" s="62" t="s">
        <v>83</v>
      </c>
      <c r="D26" s="22"/>
      <c r="E26" s="22"/>
      <c r="F26" s="22"/>
      <c r="G26" s="22"/>
      <c r="I26" s="63" t="s">
        <v>88</v>
      </c>
      <c r="J26" s="22"/>
      <c r="K26" s="22"/>
      <c r="L26" s="22"/>
      <c r="M26" s="22"/>
      <c r="O26" s="65" t="s">
        <v>10</v>
      </c>
    </row>
    <row r="27" spans="1:21">
      <c r="C27" s="10" t="s">
        <v>25</v>
      </c>
      <c r="E27" s="10" t="s">
        <v>25</v>
      </c>
      <c r="G27" s="10" t="s">
        <v>10</v>
      </c>
      <c r="I27" s="10" t="s">
        <v>25</v>
      </c>
      <c r="K27" s="10" t="s">
        <v>25</v>
      </c>
      <c r="M27" s="10" t="s">
        <v>10</v>
      </c>
      <c r="O27" s="57" t="s">
        <v>69</v>
      </c>
    </row>
    <row r="28" spans="1:21">
      <c r="C28" s="12" t="s">
        <v>24</v>
      </c>
      <c r="E28" s="12" t="s">
        <v>9</v>
      </c>
      <c r="G28" s="12" t="s">
        <v>25</v>
      </c>
      <c r="I28" s="12" t="s">
        <v>24</v>
      </c>
      <c r="K28" s="12" t="s">
        <v>9</v>
      </c>
      <c r="M28" s="12" t="s">
        <v>25</v>
      </c>
      <c r="O28" s="12" t="s">
        <v>25</v>
      </c>
    </row>
    <row r="29" spans="1:21">
      <c r="A29" s="13" t="str">
        <f>A10</f>
        <v>December 2013</v>
      </c>
      <c r="C29" s="50">
        <v>3841199</v>
      </c>
      <c r="D29" s="51"/>
      <c r="E29" s="50">
        <v>2746452</v>
      </c>
      <c r="F29" s="17"/>
      <c r="G29" s="16">
        <v>6587651</v>
      </c>
      <c r="H29" s="60"/>
      <c r="I29" s="50">
        <v>2040018</v>
      </c>
      <c r="J29" s="51"/>
      <c r="K29" s="50">
        <v>2170377</v>
      </c>
      <c r="L29" s="17"/>
      <c r="M29" s="16">
        <v>4210395</v>
      </c>
      <c r="N29" s="60"/>
      <c r="O29" s="16">
        <f>G29+M29</f>
        <v>10798046</v>
      </c>
    </row>
    <row r="30" spans="1:21">
      <c r="A30" s="13" t="str">
        <f>A11</f>
        <v>January 2014</v>
      </c>
      <c r="C30" s="50">
        <v>3761663</v>
      </c>
      <c r="D30" s="51"/>
      <c r="E30" s="50">
        <v>2649817</v>
      </c>
      <c r="F30" s="17"/>
      <c r="G30" s="16">
        <v>6411480</v>
      </c>
      <c r="H30" s="60"/>
      <c r="I30" s="50">
        <v>1997190</v>
      </c>
      <c r="J30" s="51"/>
      <c r="K30" s="50">
        <v>2104630</v>
      </c>
      <c r="L30" s="17"/>
      <c r="M30" s="16">
        <v>4101820</v>
      </c>
      <c r="N30" s="60"/>
      <c r="O30" s="16">
        <f t="shared" ref="O30:O41" si="1">G30+M30</f>
        <v>10513300</v>
      </c>
    </row>
    <row r="31" spans="1:21">
      <c r="A31" s="13" t="s">
        <v>11</v>
      </c>
      <c r="C31" s="50">
        <v>3710001</v>
      </c>
      <c r="D31" s="51"/>
      <c r="E31" s="50">
        <v>2658322</v>
      </c>
      <c r="F31" s="17"/>
      <c r="G31" s="16">
        <v>6368323</v>
      </c>
      <c r="H31" s="60"/>
      <c r="I31" s="50">
        <v>1969986</v>
      </c>
      <c r="J31" s="51"/>
      <c r="K31" s="50">
        <v>2115049</v>
      </c>
      <c r="L31" s="17"/>
      <c r="M31" s="16">
        <v>4085035</v>
      </c>
      <c r="N31" s="60"/>
      <c r="O31" s="16">
        <f t="shared" si="1"/>
        <v>10453358</v>
      </c>
    </row>
    <row r="32" spans="1:21">
      <c r="A32" s="13" t="s">
        <v>12</v>
      </c>
      <c r="C32" s="50">
        <v>3704386</v>
      </c>
      <c r="D32" s="51"/>
      <c r="E32" s="50">
        <v>2657765</v>
      </c>
      <c r="F32" s="17"/>
      <c r="G32" s="16">
        <v>6362151</v>
      </c>
      <c r="H32" s="60"/>
      <c r="I32" s="50">
        <v>1967255</v>
      </c>
      <c r="J32" s="51"/>
      <c r="K32" s="50">
        <v>2126186</v>
      </c>
      <c r="L32" s="17"/>
      <c r="M32" s="16">
        <v>4093441</v>
      </c>
      <c r="N32" s="60"/>
      <c r="O32" s="16">
        <f t="shared" si="1"/>
        <v>10455592</v>
      </c>
    </row>
    <row r="33" spans="1:15">
      <c r="A33" s="13" t="s">
        <v>13</v>
      </c>
      <c r="C33" s="50">
        <v>3633597</v>
      </c>
      <c r="D33" s="51"/>
      <c r="E33" s="50">
        <v>2657765</v>
      </c>
      <c r="F33" s="17"/>
      <c r="G33" s="16">
        <v>6291362</v>
      </c>
      <c r="H33" s="60"/>
      <c r="I33" s="50">
        <v>1931518</v>
      </c>
      <c r="J33" s="51"/>
      <c r="K33" s="50">
        <v>2126186</v>
      </c>
      <c r="L33" s="17"/>
      <c r="M33" s="16">
        <v>4057704</v>
      </c>
      <c r="N33" s="60"/>
      <c r="O33" s="16">
        <f t="shared" si="1"/>
        <v>10349066</v>
      </c>
    </row>
    <row r="34" spans="1:15">
      <c r="A34" s="13" t="s">
        <v>14</v>
      </c>
      <c r="C34" s="50">
        <v>3638402</v>
      </c>
      <c r="D34" s="51"/>
      <c r="E34" s="50">
        <v>2271300</v>
      </c>
      <c r="F34" s="17"/>
      <c r="G34" s="16">
        <v>5909702</v>
      </c>
      <c r="H34" s="60"/>
      <c r="I34" s="50">
        <v>1933947</v>
      </c>
      <c r="J34" s="51"/>
      <c r="K34" s="50">
        <v>1940540</v>
      </c>
      <c r="L34" s="17"/>
      <c r="M34" s="16">
        <v>3874487</v>
      </c>
      <c r="N34" s="60"/>
      <c r="O34" s="16">
        <f t="shared" si="1"/>
        <v>9784189</v>
      </c>
    </row>
    <row r="35" spans="1:15">
      <c r="A35" s="13" t="s">
        <v>15</v>
      </c>
      <c r="C35" s="50">
        <v>3637901</v>
      </c>
      <c r="D35" s="51"/>
      <c r="E35" s="50">
        <v>2278795</v>
      </c>
      <c r="F35" s="17"/>
      <c r="G35" s="16">
        <v>5916696</v>
      </c>
      <c r="H35" s="60"/>
      <c r="I35" s="50">
        <v>1933688</v>
      </c>
      <c r="J35" s="51"/>
      <c r="K35" s="50">
        <v>1949609</v>
      </c>
      <c r="L35" s="17"/>
      <c r="M35" s="16">
        <v>3883297</v>
      </c>
      <c r="N35" s="60"/>
      <c r="O35" s="16">
        <f t="shared" si="1"/>
        <v>9799993</v>
      </c>
    </row>
    <row r="36" spans="1:15">
      <c r="A36" s="13" t="s">
        <v>16</v>
      </c>
      <c r="C36" s="50">
        <v>3637415</v>
      </c>
      <c r="D36" s="51"/>
      <c r="E36" s="50">
        <v>2289107</v>
      </c>
      <c r="F36" s="17"/>
      <c r="G36" s="16">
        <v>5926522</v>
      </c>
      <c r="H36" s="60"/>
      <c r="I36" s="50">
        <v>1933443</v>
      </c>
      <c r="J36" s="51"/>
      <c r="K36" s="50">
        <v>1961263</v>
      </c>
      <c r="L36" s="17"/>
      <c r="M36" s="16">
        <v>3894706</v>
      </c>
      <c r="N36" s="60"/>
      <c r="O36" s="16">
        <f t="shared" si="1"/>
        <v>9821228</v>
      </c>
    </row>
    <row r="37" spans="1:15">
      <c r="A37" s="13" t="s">
        <v>17</v>
      </c>
      <c r="C37" s="50">
        <v>3688015</v>
      </c>
      <c r="D37" s="51"/>
      <c r="E37" s="50">
        <v>2297023</v>
      </c>
      <c r="F37" s="17"/>
      <c r="G37" s="16">
        <v>5985038</v>
      </c>
      <c r="H37" s="60"/>
      <c r="I37" s="50">
        <v>1958923</v>
      </c>
      <c r="J37" s="51"/>
      <c r="K37" s="50">
        <v>1971269</v>
      </c>
      <c r="L37" s="17"/>
      <c r="M37" s="16">
        <v>3930192</v>
      </c>
      <c r="N37" s="60"/>
      <c r="O37" s="16">
        <f t="shared" si="1"/>
        <v>9915230</v>
      </c>
    </row>
    <row r="38" spans="1:15">
      <c r="A38" s="13" t="s">
        <v>18</v>
      </c>
      <c r="C38" s="50">
        <v>3680829</v>
      </c>
      <c r="D38" s="51"/>
      <c r="E38" s="50">
        <v>2304865</v>
      </c>
      <c r="F38" s="17"/>
      <c r="G38" s="16">
        <v>5985694</v>
      </c>
      <c r="H38" s="60"/>
      <c r="I38" s="50">
        <v>1955287</v>
      </c>
      <c r="J38" s="51"/>
      <c r="K38" s="50">
        <v>1980507</v>
      </c>
      <c r="L38" s="17"/>
      <c r="M38" s="16">
        <v>3935794</v>
      </c>
      <c r="N38" s="60"/>
      <c r="O38" s="16">
        <f t="shared" si="1"/>
        <v>9921488</v>
      </c>
    </row>
    <row r="39" spans="1:15">
      <c r="A39" s="13" t="s">
        <v>19</v>
      </c>
      <c r="C39" s="50">
        <v>3674878</v>
      </c>
      <c r="D39" s="51"/>
      <c r="E39" s="50">
        <v>2310937</v>
      </c>
      <c r="F39" s="17"/>
      <c r="G39" s="16">
        <v>5985815</v>
      </c>
      <c r="H39" s="60"/>
      <c r="I39" s="50">
        <v>1952396</v>
      </c>
      <c r="J39" s="51"/>
      <c r="K39" s="50">
        <v>1988731</v>
      </c>
      <c r="L39" s="17"/>
      <c r="M39" s="16">
        <v>3941127</v>
      </c>
      <c r="N39" s="60"/>
      <c r="O39" s="16">
        <f t="shared" si="1"/>
        <v>9926942</v>
      </c>
    </row>
    <row r="40" spans="1:15">
      <c r="A40" s="13" t="s">
        <v>20</v>
      </c>
      <c r="C40" s="50">
        <v>3651553</v>
      </c>
      <c r="D40" s="51"/>
      <c r="E40" s="50">
        <v>2323840</v>
      </c>
      <c r="F40" s="17"/>
      <c r="G40" s="16">
        <v>5975393</v>
      </c>
      <c r="H40" s="60"/>
      <c r="I40" s="50">
        <v>1940615</v>
      </c>
      <c r="J40" s="51"/>
      <c r="K40" s="50">
        <v>2004825</v>
      </c>
      <c r="L40" s="17"/>
      <c r="M40" s="16">
        <v>3945440</v>
      </c>
      <c r="N40" s="60"/>
      <c r="O40" s="16">
        <f t="shared" si="1"/>
        <v>9920833</v>
      </c>
    </row>
    <row r="41" spans="1:15">
      <c r="A41" s="13" t="s">
        <v>21</v>
      </c>
      <c r="C41" s="50">
        <v>3668069</v>
      </c>
      <c r="D41" s="51"/>
      <c r="E41" s="50">
        <v>2362630</v>
      </c>
      <c r="F41" s="17"/>
      <c r="G41" s="16">
        <v>6030699</v>
      </c>
      <c r="H41" s="60"/>
      <c r="I41" s="50">
        <v>1948947</v>
      </c>
      <c r="J41" s="51"/>
      <c r="K41" s="50">
        <v>2032936</v>
      </c>
      <c r="L41" s="17"/>
      <c r="M41" s="16">
        <v>3981883</v>
      </c>
      <c r="N41" s="60"/>
      <c r="O41" s="16">
        <f t="shared" si="1"/>
        <v>10012582</v>
      </c>
    </row>
  </sheetData>
  <printOptions horizontalCentered="1"/>
  <pageMargins left="0.17" right="0.17" top="1" bottom="0.6" header="0.3" footer="0.2"/>
  <pageSetup scale="90" orientation="landscape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workbookViewId="0"/>
  </sheetViews>
  <sheetFormatPr defaultRowHeight="12.75"/>
  <cols>
    <col min="1" max="1" width="16.7109375" style="67" customWidth="1"/>
    <col min="2" max="2" width="2.7109375" style="67" customWidth="1"/>
    <col min="3" max="3" width="14.42578125" style="67" bestFit="1" customWidth="1"/>
    <col min="4" max="4" width="2.7109375" style="67" customWidth="1"/>
    <col min="5" max="5" width="14.140625" style="68" bestFit="1" customWidth="1"/>
    <col min="6" max="6" width="2.7109375" style="68" customWidth="1"/>
    <col min="7" max="7" width="12.7109375" style="68" bestFit="1" customWidth="1"/>
    <col min="8" max="8" width="2.7109375" style="68" customWidth="1"/>
    <col min="9" max="9" width="11.85546875" style="68" bestFit="1" customWidth="1"/>
    <col min="10" max="20" width="9.140625" style="68"/>
    <col min="21" max="16384" width="9.140625" style="67"/>
  </cols>
  <sheetData>
    <row r="1" spans="1:9" s="68" customFormat="1">
      <c r="A1" s="4" t="s">
        <v>0</v>
      </c>
      <c r="B1" s="69"/>
      <c r="C1" s="69"/>
      <c r="D1" s="69"/>
      <c r="E1" s="70"/>
      <c r="F1" s="70"/>
      <c r="G1" s="70"/>
      <c r="H1" s="70"/>
      <c r="I1" s="70"/>
    </row>
    <row r="2" spans="1:9" s="68" customFormat="1">
      <c r="A2" s="4" t="s">
        <v>96</v>
      </c>
      <c r="B2" s="69"/>
      <c r="C2" s="69"/>
      <c r="D2" s="69"/>
      <c r="E2" s="70"/>
      <c r="F2" s="70"/>
      <c r="G2" s="70"/>
      <c r="H2" s="70"/>
      <c r="I2" s="70"/>
    </row>
    <row r="3" spans="1:9" s="68" customFormat="1">
      <c r="A3" s="4" t="s">
        <v>107</v>
      </c>
      <c r="B3" s="69"/>
      <c r="C3" s="69"/>
      <c r="D3" s="69"/>
      <c r="E3" s="70"/>
      <c r="F3" s="70"/>
      <c r="G3" s="70"/>
      <c r="H3" s="70"/>
      <c r="I3" s="70"/>
    </row>
    <row r="4" spans="1:9" s="68" customFormat="1">
      <c r="A4" s="4" t="s">
        <v>34</v>
      </c>
      <c r="B4" s="69"/>
      <c r="C4" s="69"/>
      <c r="D4" s="69"/>
      <c r="E4" s="70"/>
      <c r="F4" s="70"/>
      <c r="G4" s="70"/>
      <c r="H4" s="70"/>
      <c r="I4" s="70"/>
    </row>
    <row r="5" spans="1:9" s="68" customFormat="1">
      <c r="A5" s="4" t="str">
        <f>'Reconcile FF1 to Juris-Plt'!A5</f>
        <v>Twelve Months Ended December 31, 2014</v>
      </c>
      <c r="B5" s="69"/>
      <c r="C5" s="69"/>
      <c r="D5" s="69"/>
      <c r="E5" s="70"/>
      <c r="F5" s="70"/>
      <c r="G5" s="70"/>
      <c r="H5" s="70"/>
      <c r="I5" s="70"/>
    </row>
    <row r="6" spans="1:9" s="68" customFormat="1">
      <c r="A6" s="24"/>
      <c r="B6" s="67"/>
      <c r="C6" s="67"/>
      <c r="D6" s="67"/>
    </row>
    <row r="8" spans="1:9" s="68" customFormat="1">
      <c r="A8" s="67"/>
      <c r="B8" s="67"/>
      <c r="C8" s="71" t="s">
        <v>36</v>
      </c>
      <c r="D8" s="67"/>
      <c r="E8" s="72" t="s">
        <v>36</v>
      </c>
      <c r="G8" s="73" t="s">
        <v>37</v>
      </c>
      <c r="I8" s="73"/>
    </row>
    <row r="9" spans="1:9" s="68" customFormat="1">
      <c r="A9" s="67"/>
      <c r="B9" s="67"/>
      <c r="C9" s="74" t="s">
        <v>97</v>
      </c>
      <c r="D9" s="67"/>
      <c r="E9" s="75" t="s">
        <v>40</v>
      </c>
      <c r="G9" s="157" t="s">
        <v>209</v>
      </c>
      <c r="I9" s="75" t="s">
        <v>98</v>
      </c>
    </row>
    <row r="10" spans="1:9" s="68" customFormat="1">
      <c r="A10" s="67" t="s">
        <v>99</v>
      </c>
      <c r="B10" s="67"/>
      <c r="C10" s="67" t="s">
        <v>100</v>
      </c>
      <c r="D10" s="67"/>
      <c r="E10" s="76">
        <v>231407135</v>
      </c>
      <c r="G10" s="76">
        <v>231304001</v>
      </c>
      <c r="H10" s="158" t="s">
        <v>47</v>
      </c>
      <c r="I10" s="76">
        <f>E10-G10</f>
        <v>103134</v>
      </c>
    </row>
    <row r="11" spans="1:9" s="68" customFormat="1">
      <c r="A11" s="67" t="s">
        <v>101</v>
      </c>
      <c r="B11" s="67"/>
      <c r="C11" s="67" t="s">
        <v>102</v>
      </c>
      <c r="D11" s="67"/>
      <c r="E11" s="68">
        <v>44546726</v>
      </c>
      <c r="G11" s="68">
        <v>43826420</v>
      </c>
      <c r="I11" s="68">
        <f t="shared" ref="I11" si="0">E11-G11</f>
        <v>720306</v>
      </c>
    </row>
    <row r="12" spans="1:9" s="68" customFormat="1">
      <c r="A12" s="67" t="s">
        <v>103</v>
      </c>
      <c r="B12" s="67"/>
      <c r="C12" s="67"/>
      <c r="D12" s="67"/>
      <c r="E12" s="77">
        <f>SUM(E10:E11)</f>
        <v>275953861</v>
      </c>
      <c r="G12" s="77">
        <f>SUM(G10:G11)</f>
        <v>275130421</v>
      </c>
      <c r="I12" s="77">
        <f>SUM(I10:I11)</f>
        <v>823440</v>
      </c>
    </row>
    <row r="13" spans="1:9" s="68" customFormat="1">
      <c r="A13" s="67" t="s">
        <v>7</v>
      </c>
      <c r="B13" s="67"/>
      <c r="C13" s="67" t="s">
        <v>58</v>
      </c>
      <c r="D13" s="67"/>
      <c r="E13" s="68">
        <v>92958500</v>
      </c>
      <c r="F13" s="297" t="s">
        <v>395</v>
      </c>
      <c r="G13" s="68">
        <v>92958028</v>
      </c>
      <c r="H13" s="297" t="s">
        <v>395</v>
      </c>
      <c r="I13" s="68">
        <f>E13-G13</f>
        <v>472</v>
      </c>
    </row>
    <row r="14" spans="1:9" s="68" customFormat="1">
      <c r="A14" s="67" t="s">
        <v>8</v>
      </c>
      <c r="B14" s="67"/>
      <c r="C14" s="67" t="s">
        <v>59</v>
      </c>
      <c r="D14" s="67"/>
      <c r="E14" s="68">
        <v>132279422</v>
      </c>
      <c r="G14" s="68">
        <v>132245413</v>
      </c>
      <c r="I14" s="68">
        <f>E14-G14</f>
        <v>34009</v>
      </c>
    </row>
    <row r="15" spans="1:9" s="68" customFormat="1">
      <c r="A15" s="67" t="s">
        <v>24</v>
      </c>
      <c r="B15" s="67"/>
      <c r="C15" s="67" t="s">
        <v>104</v>
      </c>
      <c r="D15" s="67"/>
      <c r="E15" s="68">
        <v>12277164</v>
      </c>
      <c r="G15" s="68">
        <v>12277164</v>
      </c>
      <c r="I15" s="78">
        <f>E15-G15</f>
        <v>0</v>
      </c>
    </row>
    <row r="16" spans="1:9" s="68" customFormat="1">
      <c r="A16" s="67" t="s">
        <v>105</v>
      </c>
      <c r="B16" s="67"/>
      <c r="C16" s="67" t="s">
        <v>61</v>
      </c>
      <c r="D16" s="67"/>
      <c r="E16" s="68">
        <v>1403482</v>
      </c>
      <c r="G16" s="68">
        <v>1403482</v>
      </c>
      <c r="I16" s="68">
        <f>E16-G16</f>
        <v>0</v>
      </c>
    </row>
    <row r="17" spans="1:9" s="68" customFormat="1">
      <c r="A17" s="67"/>
      <c r="B17" s="67"/>
      <c r="C17" s="80"/>
      <c r="D17" s="67"/>
      <c r="E17" s="77">
        <f>SUM(E12:E16)</f>
        <v>514872429</v>
      </c>
      <c r="G17" s="77">
        <f>SUM(G12:G16)</f>
        <v>514014508</v>
      </c>
      <c r="I17" s="77">
        <f>SUM(I12:I16)</f>
        <v>857921</v>
      </c>
    </row>
    <row r="18" spans="1:9" s="68" customFormat="1">
      <c r="A18" s="67" t="s">
        <v>25</v>
      </c>
      <c r="B18" s="67"/>
      <c r="C18" s="81">
        <v>356.1</v>
      </c>
      <c r="D18" s="67"/>
      <c r="E18" s="82">
        <v>43498031</v>
      </c>
      <c r="G18" s="82">
        <f>'Reconcile FF1 to Com Res'!E26</f>
        <v>43498031</v>
      </c>
      <c r="I18" s="68">
        <f>E18-G18</f>
        <v>0</v>
      </c>
    </row>
    <row r="19" spans="1:9" s="68" customFormat="1" ht="13.5" thickBot="1">
      <c r="A19" s="67"/>
      <c r="B19" s="67"/>
      <c r="C19" s="67"/>
      <c r="D19" s="67"/>
      <c r="E19" s="83">
        <f>SUM(E17:E18)</f>
        <v>558370460</v>
      </c>
      <c r="G19" s="83">
        <f>SUM(G17:G18)</f>
        <v>557512539</v>
      </c>
      <c r="I19" s="84">
        <f>SUM(I17:I18)</f>
        <v>857921</v>
      </c>
    </row>
    <row r="20" spans="1:9" s="68" customFormat="1" ht="13.5" thickTop="1">
      <c r="A20" s="67"/>
      <c r="B20" s="67"/>
      <c r="C20" s="67"/>
      <c r="D20" s="67"/>
    </row>
    <row r="23" spans="1:9">
      <c r="A23" s="159" t="s">
        <v>210</v>
      </c>
    </row>
    <row r="24" spans="1:9" s="68" customFormat="1">
      <c r="A24" s="67" t="s">
        <v>106</v>
      </c>
      <c r="B24" s="67"/>
      <c r="C24" s="67"/>
      <c r="D24" s="67"/>
    </row>
    <row r="25" spans="1:9">
      <c r="A25" s="292" t="s">
        <v>408</v>
      </c>
    </row>
    <row r="26" spans="1:9">
      <c r="A26" s="292" t="s">
        <v>409</v>
      </c>
    </row>
  </sheetData>
  <printOptions horizontalCentered="1"/>
  <pageMargins left="0.17" right="0.17" top="1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/>
  </sheetViews>
  <sheetFormatPr defaultRowHeight="12.75"/>
  <cols>
    <col min="1" max="1" width="14.28515625" style="21" customWidth="1"/>
    <col min="2" max="2" width="1.5703125" style="8" customWidth="1"/>
    <col min="3" max="3" width="12.7109375" style="8" customWidth="1"/>
    <col min="4" max="4" width="1.85546875" style="18" customWidth="1"/>
    <col min="5" max="5" width="12.7109375" style="8" customWidth="1"/>
    <col min="6" max="6" width="1.42578125" style="18" customWidth="1"/>
    <col min="7" max="7" width="12.7109375" style="8" customWidth="1"/>
    <col min="8" max="8" width="1.42578125" style="18" customWidth="1"/>
    <col min="9" max="9" width="12.7109375" style="8" customWidth="1"/>
    <col min="10" max="10" width="1.5703125" style="18" customWidth="1"/>
    <col min="11" max="11" width="12.7109375" style="8" customWidth="1"/>
    <col min="12" max="12" width="1.7109375" style="18" customWidth="1"/>
    <col min="13" max="13" width="14.42578125" style="8" bestFit="1" customWidth="1"/>
    <col min="14" max="16384" width="9.140625" style="8"/>
  </cols>
  <sheetData>
    <row r="1" spans="1:13">
      <c r="A1" s="5" t="s">
        <v>0</v>
      </c>
      <c r="B1" s="6"/>
      <c r="C1" s="6"/>
      <c r="D1" s="7"/>
      <c r="E1" s="6"/>
      <c r="F1" s="7"/>
      <c r="G1" s="6"/>
      <c r="H1" s="7"/>
      <c r="I1" s="6"/>
      <c r="J1" s="7"/>
      <c r="K1" s="6"/>
      <c r="L1" s="7"/>
      <c r="M1" s="6"/>
    </row>
    <row r="2" spans="1:13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</row>
    <row r="3" spans="1:13">
      <c r="A3" s="5" t="s">
        <v>92</v>
      </c>
      <c r="B3" s="6"/>
      <c r="C3" s="6"/>
      <c r="D3" s="7"/>
      <c r="E3" s="6"/>
      <c r="F3" s="7"/>
      <c r="G3" s="6"/>
      <c r="H3" s="7"/>
      <c r="I3" s="6"/>
      <c r="J3" s="7"/>
      <c r="K3" s="6"/>
      <c r="L3" s="7"/>
      <c r="M3" s="6"/>
    </row>
    <row r="4" spans="1:13">
      <c r="A4" s="5" t="str">
        <f>'Plant in Service'!A4</f>
        <v>Thirteen Months Ended December 31, 2014</v>
      </c>
      <c r="B4" s="6"/>
      <c r="C4" s="6"/>
      <c r="D4" s="7"/>
      <c r="E4" s="6"/>
      <c r="F4" s="7"/>
      <c r="G4" s="6"/>
      <c r="H4" s="7"/>
      <c r="I4" s="6"/>
      <c r="J4" s="7"/>
      <c r="K4" s="6"/>
      <c r="L4" s="7"/>
      <c r="M4" s="6"/>
    </row>
    <row r="6" spans="1:13">
      <c r="K6" s="58" t="s">
        <v>81</v>
      </c>
    </row>
    <row r="7" spans="1:13">
      <c r="A7" s="64" t="s">
        <v>10</v>
      </c>
      <c r="C7" s="10"/>
      <c r="D7" s="10"/>
      <c r="E7" s="296" t="s">
        <v>398</v>
      </c>
      <c r="F7" s="10"/>
      <c r="G7" s="10"/>
      <c r="H7" s="10"/>
      <c r="I7" s="10" t="s">
        <v>3</v>
      </c>
      <c r="J7" s="10"/>
      <c r="K7" s="10" t="s">
        <v>4</v>
      </c>
      <c r="L7" s="10"/>
      <c r="M7" s="10"/>
    </row>
    <row r="8" spans="1:13">
      <c r="A8" s="61" t="s">
        <v>85</v>
      </c>
      <c r="C8" s="280" t="s">
        <v>383</v>
      </c>
      <c r="D8" s="10"/>
      <c r="E8" s="291" t="s">
        <v>399</v>
      </c>
      <c r="F8" s="10"/>
      <c r="G8" s="12" t="s">
        <v>8</v>
      </c>
      <c r="H8" s="10"/>
      <c r="I8" s="12" t="s">
        <v>9</v>
      </c>
      <c r="J8" s="10"/>
      <c r="K8" s="291" t="s">
        <v>400</v>
      </c>
      <c r="L8" s="10"/>
      <c r="M8" s="12" t="s">
        <v>10</v>
      </c>
    </row>
    <row r="9" spans="1:13" ht="15" customHeight="1">
      <c r="A9" s="13" t="s">
        <v>28</v>
      </c>
      <c r="C9" s="48">
        <v>258312734</v>
      </c>
      <c r="D9" s="49"/>
      <c r="E9" s="48">
        <v>91945097</v>
      </c>
      <c r="F9" s="49"/>
      <c r="G9" s="48">
        <v>130676177</v>
      </c>
      <c r="H9" s="15"/>
      <c r="I9" s="14">
        <v>17754894</v>
      </c>
      <c r="J9" s="15"/>
      <c r="K9" s="14">
        <v>47511471</v>
      </c>
      <c r="L9" s="15"/>
      <c r="M9" s="14">
        <f t="shared" ref="M9:M21" si="0">SUM(C9:L9)</f>
        <v>546200373</v>
      </c>
    </row>
    <row r="10" spans="1:13">
      <c r="A10" s="13" t="s">
        <v>32</v>
      </c>
      <c r="C10" s="50">
        <v>259551583</v>
      </c>
      <c r="D10" s="51"/>
      <c r="E10" s="50">
        <v>92060608</v>
      </c>
      <c r="F10" s="51"/>
      <c r="G10" s="50">
        <v>130784946</v>
      </c>
      <c r="H10" s="17"/>
      <c r="I10" s="16">
        <v>17967105</v>
      </c>
      <c r="J10" s="17"/>
      <c r="K10" s="16">
        <v>47879541</v>
      </c>
      <c r="L10" s="17"/>
      <c r="M10" s="16">
        <f t="shared" si="0"/>
        <v>548243783</v>
      </c>
    </row>
    <row r="11" spans="1:13">
      <c r="A11" s="13" t="s">
        <v>11</v>
      </c>
      <c r="C11" s="50">
        <v>260988131</v>
      </c>
      <c r="D11" s="51"/>
      <c r="E11" s="50">
        <v>92375240</v>
      </c>
      <c r="F11" s="51"/>
      <c r="G11" s="50">
        <v>131007292</v>
      </c>
      <c r="H11" s="17"/>
      <c r="I11" s="16">
        <v>17926168</v>
      </c>
      <c r="J11" s="17"/>
      <c r="K11" s="16">
        <v>47442668</v>
      </c>
      <c r="L11" s="17"/>
      <c r="M11" s="16">
        <f t="shared" si="0"/>
        <v>549739499</v>
      </c>
    </row>
    <row r="12" spans="1:13">
      <c r="A12" s="13" t="s">
        <v>12</v>
      </c>
      <c r="C12" s="50">
        <v>262384128</v>
      </c>
      <c r="D12" s="51"/>
      <c r="E12" s="50">
        <v>92257448</v>
      </c>
      <c r="F12" s="51"/>
      <c r="G12" s="50">
        <v>131795893</v>
      </c>
      <c r="H12" s="17"/>
      <c r="I12" s="16">
        <v>18056789</v>
      </c>
      <c r="J12" s="17"/>
      <c r="K12" s="16">
        <v>47830802</v>
      </c>
      <c r="L12" s="17"/>
      <c r="M12" s="16">
        <f t="shared" si="0"/>
        <v>552325060</v>
      </c>
    </row>
    <row r="13" spans="1:13">
      <c r="A13" s="13" t="s">
        <v>13</v>
      </c>
      <c r="C13" s="50">
        <v>263902703</v>
      </c>
      <c r="D13" s="51"/>
      <c r="E13" s="50">
        <v>92412589</v>
      </c>
      <c r="F13" s="51"/>
      <c r="G13" s="50">
        <v>132302788</v>
      </c>
      <c r="H13" s="17"/>
      <c r="I13" s="16">
        <v>18130132</v>
      </c>
      <c r="J13" s="17"/>
      <c r="K13" s="16">
        <v>47985991</v>
      </c>
      <c r="L13" s="17"/>
      <c r="M13" s="16">
        <f t="shared" si="0"/>
        <v>554734203</v>
      </c>
    </row>
    <row r="14" spans="1:13">
      <c r="A14" s="13" t="s">
        <v>14</v>
      </c>
      <c r="C14" s="50">
        <v>265186709</v>
      </c>
      <c r="D14" s="51"/>
      <c r="E14" s="50">
        <v>92587638</v>
      </c>
      <c r="F14" s="51"/>
      <c r="G14" s="50">
        <v>132761063</v>
      </c>
      <c r="H14" s="17"/>
      <c r="I14" s="16">
        <v>12579389</v>
      </c>
      <c r="J14" s="17"/>
      <c r="K14" s="16">
        <v>41679613</v>
      </c>
      <c r="L14" s="17"/>
      <c r="M14" s="16">
        <f t="shared" si="0"/>
        <v>544794412</v>
      </c>
    </row>
    <row r="15" spans="1:13">
      <c r="A15" s="13" t="s">
        <v>15</v>
      </c>
      <c r="C15" s="50">
        <v>266541458</v>
      </c>
      <c r="D15" s="51"/>
      <c r="E15" s="50">
        <v>92554380</v>
      </c>
      <c r="F15" s="51"/>
      <c r="G15" s="50">
        <v>133182861</v>
      </c>
      <c r="H15" s="17"/>
      <c r="I15" s="16">
        <v>12730921</v>
      </c>
      <c r="J15" s="17"/>
      <c r="K15" s="16">
        <v>42076178</v>
      </c>
      <c r="L15" s="17"/>
      <c r="M15" s="16">
        <f t="shared" si="0"/>
        <v>547085798</v>
      </c>
    </row>
    <row r="16" spans="1:13">
      <c r="A16" s="13" t="s">
        <v>16</v>
      </c>
      <c r="C16" s="50">
        <v>267973209</v>
      </c>
      <c r="D16" s="51"/>
      <c r="E16" s="50">
        <v>92739142</v>
      </c>
      <c r="F16" s="51"/>
      <c r="G16" s="50">
        <v>133629068</v>
      </c>
      <c r="H16" s="17"/>
      <c r="I16" s="16">
        <v>12902439</v>
      </c>
      <c r="J16" s="17"/>
      <c r="K16" s="16">
        <v>42478431</v>
      </c>
      <c r="L16" s="17"/>
      <c r="M16" s="16">
        <f t="shared" si="0"/>
        <v>549722289</v>
      </c>
    </row>
    <row r="17" spans="1:13">
      <c r="A17" s="13" t="s">
        <v>17</v>
      </c>
      <c r="C17" s="50">
        <v>269269406</v>
      </c>
      <c r="D17" s="51"/>
      <c r="E17" s="50">
        <v>93140417</v>
      </c>
      <c r="F17" s="51"/>
      <c r="G17" s="50">
        <v>132931184</v>
      </c>
      <c r="H17" s="17"/>
      <c r="I17" s="16">
        <v>13082092</v>
      </c>
      <c r="J17" s="17"/>
      <c r="K17" s="16">
        <v>42091419</v>
      </c>
      <c r="L17" s="17"/>
      <c r="M17" s="16">
        <f t="shared" si="0"/>
        <v>550514518</v>
      </c>
    </row>
    <row r="18" spans="1:13">
      <c r="A18" s="13" t="s">
        <v>18</v>
      </c>
      <c r="C18" s="51">
        <v>270735904</v>
      </c>
      <c r="D18" s="51"/>
      <c r="E18" s="66">
        <v>92315852</v>
      </c>
      <c r="F18" s="51"/>
      <c r="G18" s="50">
        <v>132942755</v>
      </c>
      <c r="H18" s="17"/>
      <c r="I18" s="16">
        <v>13246303</v>
      </c>
      <c r="J18" s="17"/>
      <c r="K18" s="16">
        <v>42346657</v>
      </c>
      <c r="L18" s="17"/>
      <c r="M18" s="16">
        <f t="shared" si="0"/>
        <v>551587471</v>
      </c>
    </row>
    <row r="19" spans="1:13">
      <c r="A19" s="13" t="s">
        <v>19</v>
      </c>
      <c r="C19" s="51">
        <v>272144081</v>
      </c>
      <c r="D19" s="51"/>
      <c r="E19" s="50">
        <v>92440972</v>
      </c>
      <c r="F19" s="51"/>
      <c r="G19" s="50">
        <v>133098393</v>
      </c>
      <c r="H19" s="17"/>
      <c r="I19" s="16">
        <v>13334694</v>
      </c>
      <c r="J19" s="17"/>
      <c r="K19" s="16">
        <v>42712568</v>
      </c>
      <c r="L19" s="17"/>
      <c r="M19" s="16">
        <f t="shared" si="0"/>
        <v>553730708</v>
      </c>
    </row>
    <row r="20" spans="1:13">
      <c r="A20" s="13" t="s">
        <v>20</v>
      </c>
      <c r="C20" s="51">
        <v>273360383</v>
      </c>
      <c r="D20" s="51"/>
      <c r="E20" s="50">
        <v>92710214</v>
      </c>
      <c r="F20" s="51"/>
      <c r="G20" s="50">
        <v>133466461</v>
      </c>
      <c r="H20" s="17"/>
      <c r="I20" s="16">
        <v>13542738</v>
      </c>
      <c r="J20" s="17"/>
      <c r="K20" s="16">
        <v>43077379</v>
      </c>
      <c r="L20" s="17"/>
      <c r="M20" s="16">
        <f t="shared" si="0"/>
        <v>556157175</v>
      </c>
    </row>
    <row r="21" spans="1:13">
      <c r="A21" s="13" t="s">
        <v>21</v>
      </c>
      <c r="C21" s="51">
        <v>275130420</v>
      </c>
      <c r="D21" s="51"/>
      <c r="E21" s="50">
        <v>92958028</v>
      </c>
      <c r="F21" s="51"/>
      <c r="G21" s="50">
        <v>132245413</v>
      </c>
      <c r="H21" s="17"/>
      <c r="I21" s="16">
        <v>13680646</v>
      </c>
      <c r="J21" s="17"/>
      <c r="K21" s="16">
        <v>43498030</v>
      </c>
      <c r="L21" s="17"/>
      <c r="M21" s="16">
        <f t="shared" si="0"/>
        <v>557512537</v>
      </c>
    </row>
    <row r="22" spans="1:13" ht="13.5" thickBot="1">
      <c r="A22" s="19" t="s">
        <v>22</v>
      </c>
      <c r="C22" s="20">
        <f>ROUND(AVERAGE(C9:C21),0)</f>
        <v>266575450</v>
      </c>
      <c r="D22" s="17"/>
      <c r="E22" s="20">
        <f>ROUND(AVERAGE(E9:E21),0)</f>
        <v>92499817</v>
      </c>
      <c r="F22" s="17"/>
      <c r="G22" s="20">
        <f>ROUND(AVERAGE(G9:G21),0)</f>
        <v>132371100</v>
      </c>
      <c r="H22" s="17"/>
      <c r="I22" s="20">
        <f>ROUND(AVERAGE(I9:I21),0)</f>
        <v>14994947</v>
      </c>
      <c r="J22" s="17"/>
      <c r="K22" s="20">
        <f>ROUND(AVERAGE(K9:K21),0)</f>
        <v>44508519</v>
      </c>
      <c r="L22" s="17"/>
      <c r="M22" s="20">
        <f>ROUND(AVERAGE(M9:M21),0)</f>
        <v>550949833</v>
      </c>
    </row>
    <row r="23" spans="1:13" ht="13.5" thickTop="1">
      <c r="A23" s="19"/>
    </row>
    <row r="24" spans="1:13">
      <c r="K24" s="58" t="s">
        <v>81</v>
      </c>
    </row>
    <row r="25" spans="1:13">
      <c r="A25" s="64" t="s">
        <v>69</v>
      </c>
      <c r="C25" s="10"/>
      <c r="D25" s="10"/>
      <c r="E25" s="10"/>
      <c r="F25" s="10"/>
      <c r="G25" s="10"/>
      <c r="H25" s="10"/>
      <c r="I25" s="10" t="s">
        <v>3</v>
      </c>
      <c r="J25" s="10"/>
      <c r="K25" s="10" t="s">
        <v>4</v>
      </c>
      <c r="L25" s="10"/>
      <c r="M25" s="10"/>
    </row>
    <row r="26" spans="1:13">
      <c r="A26" s="11" t="s">
        <v>76</v>
      </c>
      <c r="C26" s="12" t="s">
        <v>6</v>
      </c>
      <c r="D26" s="10"/>
      <c r="E26" s="12" t="s">
        <v>7</v>
      </c>
      <c r="F26" s="10"/>
      <c r="G26" s="12" t="s">
        <v>8</v>
      </c>
      <c r="H26" s="10"/>
      <c r="I26" s="12" t="s">
        <v>9</v>
      </c>
      <c r="J26" s="10"/>
      <c r="K26" s="12" t="s">
        <v>9</v>
      </c>
      <c r="L26" s="10"/>
      <c r="M26" s="12" t="s">
        <v>10</v>
      </c>
    </row>
    <row r="27" spans="1:13" ht="15" customHeight="1">
      <c r="A27" s="13" t="s">
        <v>28</v>
      </c>
      <c r="C27" s="48">
        <v>4630807</v>
      </c>
      <c r="D27" s="49"/>
      <c r="E27" s="48">
        <v>2590500</v>
      </c>
      <c r="F27" s="49"/>
      <c r="G27" s="48">
        <v>22731306</v>
      </c>
      <c r="H27" s="15"/>
      <c r="I27" s="14">
        <v>1091014</v>
      </c>
      <c r="J27" s="15"/>
      <c r="K27" s="14">
        <v>4480097</v>
      </c>
      <c r="L27" s="15"/>
      <c r="M27" s="14">
        <f t="shared" ref="M27:M39" si="1">SUM(C27:L27)</f>
        <v>35523724</v>
      </c>
    </row>
    <row r="28" spans="1:13">
      <c r="A28" s="13" t="s">
        <v>32</v>
      </c>
      <c r="C28" s="50">
        <v>4737777</v>
      </c>
      <c r="D28" s="51"/>
      <c r="E28" s="50">
        <v>2595586</v>
      </c>
      <c r="F28" s="51"/>
      <c r="G28" s="50">
        <v>22796839</v>
      </c>
      <c r="H28" s="17"/>
      <c r="I28" s="16">
        <v>1092029</v>
      </c>
      <c r="J28" s="17"/>
      <c r="K28" s="16">
        <v>4352674</v>
      </c>
      <c r="L28" s="17"/>
      <c r="M28" s="16">
        <f t="shared" si="1"/>
        <v>35574905</v>
      </c>
    </row>
    <row r="29" spans="1:13">
      <c r="A29" s="13" t="s">
        <v>11</v>
      </c>
      <c r="C29" s="50">
        <v>4844748</v>
      </c>
      <c r="D29" s="51"/>
      <c r="E29" s="50">
        <v>2600671</v>
      </c>
      <c r="F29" s="51"/>
      <c r="G29" s="50">
        <v>22902579</v>
      </c>
      <c r="H29" s="17"/>
      <c r="I29" s="16">
        <v>1105243</v>
      </c>
      <c r="J29" s="17"/>
      <c r="K29" s="16">
        <v>4312168</v>
      </c>
      <c r="L29" s="17"/>
      <c r="M29" s="16">
        <f t="shared" si="1"/>
        <v>35765409</v>
      </c>
    </row>
    <row r="30" spans="1:13">
      <c r="A30" s="13" t="s">
        <v>12</v>
      </c>
      <c r="C30" s="50">
        <v>4951700</v>
      </c>
      <c r="D30" s="51"/>
      <c r="E30" s="50">
        <v>2605757</v>
      </c>
      <c r="F30" s="51"/>
      <c r="G30" s="50">
        <v>23001081</v>
      </c>
      <c r="H30" s="17"/>
      <c r="I30" s="16">
        <v>1109447</v>
      </c>
      <c r="J30" s="17"/>
      <c r="K30" s="16">
        <v>4349917</v>
      </c>
      <c r="L30" s="17"/>
      <c r="M30" s="16">
        <f t="shared" si="1"/>
        <v>36017902</v>
      </c>
    </row>
    <row r="31" spans="1:13">
      <c r="A31" s="13" t="s">
        <v>13</v>
      </c>
      <c r="C31" s="50">
        <v>5058652</v>
      </c>
      <c r="D31" s="51"/>
      <c r="E31" s="50">
        <v>2610843</v>
      </c>
      <c r="F31" s="51"/>
      <c r="G31" s="50">
        <v>23088904</v>
      </c>
      <c r="H31" s="17"/>
      <c r="I31" s="16">
        <v>1074378</v>
      </c>
      <c r="J31" s="17"/>
      <c r="K31" s="16">
        <v>4357526</v>
      </c>
      <c r="L31" s="17"/>
      <c r="M31" s="16">
        <f t="shared" si="1"/>
        <v>36190303</v>
      </c>
    </row>
    <row r="32" spans="1:13">
      <c r="A32" s="13" t="s">
        <v>14</v>
      </c>
      <c r="C32" s="50">
        <v>5165604</v>
      </c>
      <c r="D32" s="51"/>
      <c r="E32" s="50">
        <v>2615928</v>
      </c>
      <c r="F32" s="51"/>
      <c r="G32" s="50">
        <v>23181247</v>
      </c>
      <c r="H32" s="17"/>
      <c r="I32" s="16">
        <v>1084904</v>
      </c>
      <c r="J32" s="17"/>
      <c r="K32" s="16">
        <v>3794892</v>
      </c>
      <c r="L32" s="17"/>
      <c r="M32" s="16">
        <f t="shared" si="1"/>
        <v>35842575</v>
      </c>
    </row>
    <row r="33" spans="1:13">
      <c r="A33" s="13" t="s">
        <v>15</v>
      </c>
      <c r="C33" s="50">
        <v>5257027</v>
      </c>
      <c r="D33" s="51"/>
      <c r="E33" s="50">
        <v>2621023</v>
      </c>
      <c r="F33" s="51"/>
      <c r="G33" s="50">
        <v>23271296</v>
      </c>
      <c r="H33" s="17"/>
      <c r="I33" s="16">
        <v>1096144</v>
      </c>
      <c r="J33" s="17"/>
      <c r="K33" s="16">
        <v>3831073</v>
      </c>
      <c r="L33" s="17"/>
      <c r="M33" s="16">
        <f t="shared" si="1"/>
        <v>36076563</v>
      </c>
    </row>
    <row r="34" spans="1:13">
      <c r="A34" s="13" t="s">
        <v>16</v>
      </c>
      <c r="C34" s="50">
        <v>5363990</v>
      </c>
      <c r="D34" s="51"/>
      <c r="E34" s="50">
        <v>2626117</v>
      </c>
      <c r="F34" s="51"/>
      <c r="G34" s="50">
        <v>23374281</v>
      </c>
      <c r="H34" s="17"/>
      <c r="I34" s="16">
        <v>1109358</v>
      </c>
      <c r="J34" s="17"/>
      <c r="K34" s="16">
        <v>3870614</v>
      </c>
      <c r="L34" s="17"/>
      <c r="M34" s="16">
        <f t="shared" si="1"/>
        <v>36344360</v>
      </c>
    </row>
    <row r="35" spans="1:13">
      <c r="A35" s="13" t="s">
        <v>17</v>
      </c>
      <c r="C35" s="50">
        <v>5470953</v>
      </c>
      <c r="D35" s="51"/>
      <c r="E35" s="50">
        <v>2631212</v>
      </c>
      <c r="F35" s="51"/>
      <c r="G35" s="50">
        <v>23455049</v>
      </c>
      <c r="H35" s="17"/>
      <c r="I35" s="16">
        <v>1121170</v>
      </c>
      <c r="J35" s="17"/>
      <c r="K35" s="16">
        <v>3904723</v>
      </c>
      <c r="L35" s="17"/>
      <c r="M35" s="16">
        <f t="shared" si="1"/>
        <v>36583107</v>
      </c>
    </row>
    <row r="36" spans="1:13">
      <c r="A36" s="13" t="s">
        <v>18</v>
      </c>
      <c r="C36" s="50">
        <v>5577561</v>
      </c>
      <c r="D36" s="51"/>
      <c r="E36" s="50">
        <v>2636306</v>
      </c>
      <c r="F36" s="51"/>
      <c r="G36" s="50">
        <v>23543675</v>
      </c>
      <c r="H36" s="17"/>
      <c r="I36" s="16">
        <v>1134108</v>
      </c>
      <c r="J36" s="17"/>
      <c r="K36" s="16">
        <v>3918297</v>
      </c>
      <c r="L36" s="17"/>
      <c r="M36" s="16">
        <f t="shared" si="1"/>
        <v>36809947</v>
      </c>
    </row>
    <row r="37" spans="1:13">
      <c r="A37" s="13" t="s">
        <v>19</v>
      </c>
      <c r="C37" s="50">
        <v>5684531</v>
      </c>
      <c r="D37" s="51"/>
      <c r="E37" s="50">
        <v>2637731</v>
      </c>
      <c r="F37" s="51"/>
      <c r="G37" s="50">
        <v>23624811</v>
      </c>
      <c r="H37" s="17"/>
      <c r="I37" s="16">
        <v>1147465</v>
      </c>
      <c r="J37" s="17"/>
      <c r="K37" s="16">
        <v>3958153</v>
      </c>
      <c r="L37" s="17"/>
      <c r="M37" s="16">
        <f t="shared" si="1"/>
        <v>37052691</v>
      </c>
    </row>
    <row r="38" spans="1:13">
      <c r="A38" s="13" t="s">
        <v>20</v>
      </c>
      <c r="C38" s="50">
        <v>5791500</v>
      </c>
      <c r="D38" s="51"/>
      <c r="E38" s="50">
        <v>2642190</v>
      </c>
      <c r="F38" s="51"/>
      <c r="G38" s="50">
        <v>23713687</v>
      </c>
      <c r="H38" s="17"/>
      <c r="I38" s="16">
        <v>1160826</v>
      </c>
      <c r="J38" s="17"/>
      <c r="K38" s="16">
        <v>3961016</v>
      </c>
      <c r="L38" s="17"/>
      <c r="M38" s="16">
        <f t="shared" si="1"/>
        <v>37269219</v>
      </c>
    </row>
    <row r="39" spans="1:13">
      <c r="A39" s="13" t="s">
        <v>21</v>
      </c>
      <c r="C39" s="50">
        <v>5900564</v>
      </c>
      <c r="D39" s="51"/>
      <c r="E39" s="50">
        <v>2646788</v>
      </c>
      <c r="F39" s="51"/>
      <c r="G39" s="50">
        <v>23597423</v>
      </c>
      <c r="H39" s="17"/>
      <c r="I39" s="16">
        <v>1171111</v>
      </c>
      <c r="J39" s="17"/>
      <c r="K39" s="16">
        <v>4002982</v>
      </c>
      <c r="L39" s="17"/>
      <c r="M39" s="16">
        <f t="shared" si="1"/>
        <v>37318868</v>
      </c>
    </row>
    <row r="40" spans="1:13" ht="13.5" thickBot="1">
      <c r="A40" s="19" t="s">
        <v>22</v>
      </c>
      <c r="C40" s="20">
        <f>ROUND(AVERAGE(C27:C39),0)</f>
        <v>5264263</v>
      </c>
      <c r="D40" s="17"/>
      <c r="E40" s="20">
        <f>ROUND(AVERAGE(E27:E39),0)</f>
        <v>2620050</v>
      </c>
      <c r="F40" s="17"/>
      <c r="G40" s="20">
        <f>ROUND(AVERAGE(G27:G39),0)</f>
        <v>23252475</v>
      </c>
      <c r="H40" s="17"/>
      <c r="I40" s="20">
        <f>ROUND(AVERAGE(I27:I39),0)</f>
        <v>1115169</v>
      </c>
      <c r="J40" s="17"/>
      <c r="K40" s="20">
        <f>ROUND(AVERAGE(K27:K39),0)</f>
        <v>4084164</v>
      </c>
      <c r="L40" s="17"/>
      <c r="M40" s="20">
        <f>ROUND(AVERAGE(M27:M39),0)</f>
        <v>36336121</v>
      </c>
    </row>
    <row r="41" spans="1:13" ht="13.5" thickTop="1">
      <c r="A41" s="19"/>
    </row>
    <row r="42" spans="1:13">
      <c r="A42" s="19"/>
      <c r="K42" s="58" t="s">
        <v>81</v>
      </c>
    </row>
    <row r="43" spans="1:13">
      <c r="A43" s="9" t="s">
        <v>2</v>
      </c>
      <c r="C43" s="10"/>
      <c r="D43" s="10"/>
      <c r="E43" s="10"/>
      <c r="F43" s="10"/>
      <c r="G43" s="10"/>
      <c r="H43" s="10"/>
      <c r="I43" s="10" t="s">
        <v>3</v>
      </c>
      <c r="J43" s="10"/>
      <c r="K43" s="10" t="s">
        <v>4</v>
      </c>
      <c r="L43" s="10"/>
      <c r="M43" s="10"/>
    </row>
    <row r="44" spans="1:13">
      <c r="A44" s="11" t="s">
        <v>5</v>
      </c>
      <c r="C44" s="12" t="s">
        <v>6</v>
      </c>
      <c r="D44" s="10"/>
      <c r="E44" s="12" t="s">
        <v>7</v>
      </c>
      <c r="F44" s="10"/>
      <c r="G44" s="12" t="s">
        <v>8</v>
      </c>
      <c r="H44" s="10"/>
      <c r="I44" s="12" t="s">
        <v>9</v>
      </c>
      <c r="J44" s="10"/>
      <c r="K44" s="12" t="s">
        <v>9</v>
      </c>
      <c r="L44" s="10"/>
      <c r="M44" s="12" t="s">
        <v>10</v>
      </c>
    </row>
    <row r="45" spans="1:13" ht="15" customHeight="1">
      <c r="A45" s="13" t="s">
        <v>28</v>
      </c>
      <c r="C45" s="48">
        <v>253681927</v>
      </c>
      <c r="D45" s="49"/>
      <c r="E45" s="48">
        <v>89354597</v>
      </c>
      <c r="F45" s="49"/>
      <c r="G45" s="48">
        <v>107944871</v>
      </c>
      <c r="H45" s="15"/>
      <c r="I45" s="14">
        <v>16663880</v>
      </c>
      <c r="J45" s="15"/>
      <c r="K45" s="14">
        <v>43031374</v>
      </c>
      <c r="L45" s="15"/>
      <c r="M45" s="14">
        <f t="shared" ref="M45:M57" si="2">SUM(C45:L45)</f>
        <v>510676649</v>
      </c>
    </row>
    <row r="46" spans="1:13">
      <c r="A46" s="13" t="s">
        <v>32</v>
      </c>
      <c r="C46" s="50">
        <v>254813806</v>
      </c>
      <c r="D46" s="51"/>
      <c r="E46" s="50">
        <v>89465022</v>
      </c>
      <c r="F46" s="51"/>
      <c r="G46" s="50">
        <v>107988107</v>
      </c>
      <c r="H46" s="17"/>
      <c r="I46" s="16">
        <v>16875076</v>
      </c>
      <c r="J46" s="17"/>
      <c r="K46" s="16">
        <v>43526867</v>
      </c>
      <c r="L46" s="17"/>
      <c r="M46" s="16">
        <f t="shared" si="2"/>
        <v>512668878</v>
      </c>
    </row>
    <row r="47" spans="1:13">
      <c r="A47" s="13" t="s">
        <v>11</v>
      </c>
      <c r="C47" s="50">
        <v>256143383</v>
      </c>
      <c r="D47" s="51"/>
      <c r="E47" s="50">
        <v>89774569</v>
      </c>
      <c r="F47" s="51"/>
      <c r="G47" s="50">
        <v>108104713</v>
      </c>
      <c r="H47" s="17"/>
      <c r="I47" s="16">
        <v>16820925</v>
      </c>
      <c r="J47" s="17"/>
      <c r="K47" s="16">
        <v>43130500</v>
      </c>
      <c r="L47" s="17"/>
      <c r="M47" s="16">
        <f t="shared" si="2"/>
        <v>513974090</v>
      </c>
    </row>
    <row r="48" spans="1:13">
      <c r="A48" s="13" t="s">
        <v>12</v>
      </c>
      <c r="C48" s="50">
        <v>257432428</v>
      </c>
      <c r="D48" s="51"/>
      <c r="E48" s="50">
        <v>89651691</v>
      </c>
      <c r="F48" s="51"/>
      <c r="G48" s="50">
        <v>108794812</v>
      </c>
      <c r="H48" s="17"/>
      <c r="I48" s="16">
        <v>16947342</v>
      </c>
      <c r="J48" s="17"/>
      <c r="K48" s="16">
        <v>43480885</v>
      </c>
      <c r="L48" s="17"/>
      <c r="M48" s="16">
        <f t="shared" si="2"/>
        <v>516307158</v>
      </c>
    </row>
    <row r="49" spans="1:13">
      <c r="A49" s="13" t="s">
        <v>13</v>
      </c>
      <c r="C49" s="50">
        <v>258844051</v>
      </c>
      <c r="D49" s="51"/>
      <c r="E49" s="50">
        <v>89801746</v>
      </c>
      <c r="F49" s="51"/>
      <c r="G49" s="50">
        <v>109213884</v>
      </c>
      <c r="H49" s="17"/>
      <c r="I49" s="16">
        <v>17055754</v>
      </c>
      <c r="J49" s="17"/>
      <c r="K49" s="16">
        <v>43628465</v>
      </c>
      <c r="L49" s="17"/>
      <c r="M49" s="16">
        <f t="shared" si="2"/>
        <v>518543900</v>
      </c>
    </row>
    <row r="50" spans="1:13">
      <c r="A50" s="13" t="s">
        <v>14</v>
      </c>
      <c r="C50" s="50">
        <v>260021105</v>
      </c>
      <c r="D50" s="51"/>
      <c r="E50" s="50">
        <v>89971710</v>
      </c>
      <c r="F50" s="51"/>
      <c r="G50" s="50">
        <v>109579816</v>
      </c>
      <c r="H50" s="17"/>
      <c r="I50" s="16">
        <v>11494485</v>
      </c>
      <c r="J50" s="17"/>
      <c r="K50" s="16">
        <v>37884721</v>
      </c>
      <c r="L50" s="17"/>
      <c r="M50" s="16">
        <f t="shared" si="2"/>
        <v>508951837</v>
      </c>
    </row>
    <row r="51" spans="1:13">
      <c r="A51" s="13" t="s">
        <v>15</v>
      </c>
      <c r="C51" s="50">
        <v>261284431</v>
      </c>
      <c r="D51" s="51"/>
      <c r="E51" s="50">
        <v>89933357</v>
      </c>
      <c r="F51" s="51"/>
      <c r="G51" s="50">
        <v>109911565</v>
      </c>
      <c r="H51" s="17"/>
      <c r="I51" s="16">
        <v>11634777</v>
      </c>
      <c r="J51" s="17"/>
      <c r="K51" s="16">
        <v>38245105</v>
      </c>
      <c r="L51" s="17"/>
      <c r="M51" s="16">
        <f t="shared" si="2"/>
        <v>511009235</v>
      </c>
    </row>
    <row r="52" spans="1:13">
      <c r="A52" s="13" t="s">
        <v>16</v>
      </c>
      <c r="C52" s="50">
        <v>262609219</v>
      </c>
      <c r="D52" s="51"/>
      <c r="E52" s="50">
        <v>90113025</v>
      </c>
      <c r="F52" s="51"/>
      <c r="G52" s="50">
        <v>110254787</v>
      </c>
      <c r="H52" s="17"/>
      <c r="I52" s="16">
        <v>11793081</v>
      </c>
      <c r="J52" s="17"/>
      <c r="K52" s="16">
        <v>38607817</v>
      </c>
      <c r="L52" s="17"/>
      <c r="M52" s="16">
        <f t="shared" si="2"/>
        <v>513377929</v>
      </c>
    </row>
    <row r="53" spans="1:13">
      <c r="A53" s="13" t="s">
        <v>17</v>
      </c>
      <c r="C53" s="50">
        <v>263798453</v>
      </c>
      <c r="D53" s="51"/>
      <c r="E53" s="50">
        <v>90509205</v>
      </c>
      <c r="F53" s="51"/>
      <c r="G53" s="50">
        <v>109476135</v>
      </c>
      <c r="H53" s="17"/>
      <c r="I53" s="16">
        <v>11960922</v>
      </c>
      <c r="J53" s="17"/>
      <c r="K53" s="16">
        <v>38186696</v>
      </c>
      <c r="L53" s="17"/>
      <c r="M53" s="16">
        <f t="shared" si="2"/>
        <v>513931411</v>
      </c>
    </row>
    <row r="54" spans="1:13">
      <c r="A54" s="13" t="s">
        <v>18</v>
      </c>
      <c r="C54" s="50">
        <v>265158343</v>
      </c>
      <c r="D54" s="51"/>
      <c r="E54" s="50">
        <v>89679546</v>
      </c>
      <c r="F54" s="51"/>
      <c r="G54" s="50">
        <v>109399080</v>
      </c>
      <c r="H54" s="17"/>
      <c r="I54" s="16">
        <v>12112195</v>
      </c>
      <c r="J54" s="17"/>
      <c r="K54" s="16">
        <v>38428360</v>
      </c>
      <c r="L54" s="17"/>
      <c r="M54" s="16">
        <f t="shared" si="2"/>
        <v>514777524</v>
      </c>
    </row>
    <row r="55" spans="1:13">
      <c r="A55" s="13" t="s">
        <v>19</v>
      </c>
      <c r="C55" s="50">
        <v>266459550</v>
      </c>
      <c r="D55" s="51"/>
      <c r="E55" s="50">
        <v>89803241</v>
      </c>
      <c r="F55" s="51"/>
      <c r="G55" s="50">
        <v>109473582</v>
      </c>
      <c r="H55" s="17"/>
      <c r="I55" s="16">
        <v>12187229</v>
      </c>
      <c r="J55" s="17"/>
      <c r="K55" s="16">
        <v>38754415</v>
      </c>
      <c r="L55" s="17"/>
      <c r="M55" s="16">
        <f t="shared" si="2"/>
        <v>516678017</v>
      </c>
    </row>
    <row r="56" spans="1:13">
      <c r="A56" s="13" t="s">
        <v>20</v>
      </c>
      <c r="C56" s="50">
        <v>267568883</v>
      </c>
      <c r="D56" s="51"/>
      <c r="E56" s="50">
        <v>90068024</v>
      </c>
      <c r="F56" s="51"/>
      <c r="G56" s="50">
        <v>109752774</v>
      </c>
      <c r="H56" s="17"/>
      <c r="I56" s="16">
        <v>12381912</v>
      </c>
      <c r="J56" s="17"/>
      <c r="K56" s="16">
        <v>39116363</v>
      </c>
      <c r="L56" s="17"/>
      <c r="M56" s="16">
        <f t="shared" si="2"/>
        <v>518887956</v>
      </c>
    </row>
    <row r="57" spans="1:13">
      <c r="A57" s="13" t="s">
        <v>21</v>
      </c>
      <c r="C57" s="50">
        <v>269229856</v>
      </c>
      <c r="D57" s="51"/>
      <c r="E57" s="50">
        <v>90311240</v>
      </c>
      <c r="F57" s="51"/>
      <c r="G57" s="50">
        <v>108647990</v>
      </c>
      <c r="H57" s="17"/>
      <c r="I57" s="16">
        <v>12509535</v>
      </c>
      <c r="J57" s="17"/>
      <c r="K57" s="16">
        <v>39495048</v>
      </c>
      <c r="L57" s="17"/>
      <c r="M57" s="16">
        <f t="shared" si="2"/>
        <v>520193669</v>
      </c>
    </row>
    <row r="58" spans="1:13" ht="13.5" thickBot="1">
      <c r="A58" s="19" t="s">
        <v>22</v>
      </c>
      <c r="C58" s="20">
        <f>ROUND(AVERAGE(C45:C57),0)</f>
        <v>261311187</v>
      </c>
      <c r="D58" s="17"/>
      <c r="E58" s="20">
        <f>ROUND(AVERAGE(E45:E57),0)</f>
        <v>89879767</v>
      </c>
      <c r="F58" s="17"/>
      <c r="G58" s="20">
        <f>ROUND(AVERAGE(G45:G57),0)</f>
        <v>109118624</v>
      </c>
      <c r="H58" s="17"/>
      <c r="I58" s="20">
        <f>ROUND(AVERAGE(I45:I57),0)</f>
        <v>13879778</v>
      </c>
      <c r="J58" s="17"/>
      <c r="K58" s="20">
        <f>ROUND(AVERAGE(K45:K57),0)</f>
        <v>40424355</v>
      </c>
      <c r="L58" s="17"/>
      <c r="M58" s="20">
        <f>ROUND(AVERAGE(M45:M57),0)</f>
        <v>514613712</v>
      </c>
    </row>
    <row r="59" spans="1:13" ht="13.5" thickTop="1"/>
    <row r="60" spans="1:13">
      <c r="A60" s="281" t="s">
        <v>385</v>
      </c>
    </row>
    <row r="61" spans="1:13">
      <c r="A61" s="292" t="s">
        <v>406</v>
      </c>
    </row>
    <row r="62" spans="1:13">
      <c r="A62" s="292" t="s">
        <v>407</v>
      </c>
    </row>
    <row r="63" spans="1:13">
      <c r="A63" s="292" t="s">
        <v>401</v>
      </c>
    </row>
  </sheetData>
  <printOptions horizontalCentered="1"/>
  <pageMargins left="0.17" right="0.17" top="0.75" bottom="0.54" header="0.3" footer="0.17"/>
  <pageSetup scale="87" orientation="portrait" r:id="rId1"/>
  <headerFooter>
    <oddFooter>&amp;C&amp;F -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/>
  </sheetViews>
  <sheetFormatPr defaultRowHeight="12.75"/>
  <cols>
    <col min="1" max="1" width="15.7109375" style="21" customWidth="1"/>
    <col min="2" max="2" width="2.7109375" style="8" customWidth="1"/>
    <col min="3" max="3" width="12.7109375" style="8" customWidth="1"/>
    <col min="4" max="4" width="2.7109375" style="18" customWidth="1"/>
    <col min="5" max="5" width="12.7109375" style="8" customWidth="1"/>
    <col min="6" max="6" width="2.7109375" style="18" customWidth="1"/>
    <col min="7" max="7" width="12.7109375" style="8" customWidth="1"/>
    <col min="8" max="8" width="2.7109375" style="8" customWidth="1"/>
    <col min="9" max="9" width="19.5703125" style="8" bestFit="1" customWidth="1"/>
    <col min="10" max="10" width="2.7109375" style="8" customWidth="1"/>
    <col min="11" max="11" width="11.7109375" style="8" bestFit="1" customWidth="1"/>
    <col min="12" max="12" width="10.140625" style="8" bestFit="1" customWidth="1"/>
    <col min="13" max="16384" width="9.140625" style="8"/>
  </cols>
  <sheetData>
    <row r="1" spans="1:7">
      <c r="A1" s="5" t="s">
        <v>0</v>
      </c>
      <c r="B1" s="6"/>
      <c r="C1" s="6"/>
      <c r="D1" s="7"/>
      <c r="E1" s="6"/>
      <c r="F1" s="7"/>
      <c r="G1" s="6"/>
    </row>
    <row r="2" spans="1:7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</row>
    <row r="3" spans="1:7">
      <c r="A3" s="5" t="s">
        <v>95</v>
      </c>
      <c r="B3" s="6"/>
      <c r="C3" s="6"/>
      <c r="D3" s="7"/>
      <c r="E3" s="6"/>
      <c r="F3" s="7"/>
      <c r="G3" s="6"/>
    </row>
    <row r="4" spans="1:7">
      <c r="A4" s="5" t="str">
        <f>'Plant in Service'!A4</f>
        <v>Thirteen Months Ended December 31, 2014</v>
      </c>
      <c r="B4" s="6"/>
      <c r="C4" s="6"/>
      <c r="D4" s="7"/>
      <c r="E4" s="6"/>
      <c r="F4" s="7"/>
      <c r="G4" s="6"/>
    </row>
    <row r="7" spans="1:7">
      <c r="A7" s="64" t="s">
        <v>10</v>
      </c>
      <c r="D7" s="8"/>
      <c r="E7" s="10" t="s">
        <v>24</v>
      </c>
      <c r="G7" s="10" t="s">
        <v>10</v>
      </c>
    </row>
    <row r="8" spans="1:7">
      <c r="A8" s="61" t="s">
        <v>85</v>
      </c>
      <c r="C8" s="12" t="s">
        <v>24</v>
      </c>
      <c r="D8" s="8"/>
      <c r="E8" s="12" t="s">
        <v>9</v>
      </c>
      <c r="G8" s="12" t="s">
        <v>24</v>
      </c>
    </row>
    <row r="9" spans="1:7">
      <c r="A9" s="13" t="str">
        <f>'Plant in Service'!A9</f>
        <v>December 2013</v>
      </c>
      <c r="C9" s="48">
        <v>10980004</v>
      </c>
      <c r="D9" s="48"/>
      <c r="E9" s="48">
        <v>6774890</v>
      </c>
      <c r="F9" s="49"/>
      <c r="G9" s="48">
        <f>SUM(C9:E9)</f>
        <v>17754894</v>
      </c>
    </row>
    <row r="10" spans="1:7">
      <c r="A10" s="13" t="str">
        <f>'Plant in Service'!A10</f>
        <v>January 2014</v>
      </c>
      <c r="C10" s="50">
        <v>11164393</v>
      </c>
      <c r="D10" s="21"/>
      <c r="E10" s="50">
        <v>6802712</v>
      </c>
      <c r="F10" s="51"/>
      <c r="G10" s="50">
        <f t="shared" ref="G10:G21" si="0">SUM(C10:E10)</f>
        <v>17967105</v>
      </c>
    </row>
    <row r="11" spans="1:7">
      <c r="A11" s="13" t="s">
        <v>11</v>
      </c>
      <c r="C11" s="50">
        <v>11097041</v>
      </c>
      <c r="D11" s="21"/>
      <c r="E11" s="50">
        <v>6829127</v>
      </c>
      <c r="F11" s="51"/>
      <c r="G11" s="50">
        <f t="shared" si="0"/>
        <v>17926168</v>
      </c>
    </row>
    <row r="12" spans="1:7">
      <c r="A12" s="13" t="s">
        <v>12</v>
      </c>
      <c r="C12" s="50">
        <v>11201247</v>
      </c>
      <c r="D12" s="21"/>
      <c r="E12" s="50">
        <v>6855542</v>
      </c>
      <c r="F12" s="51"/>
      <c r="G12" s="50">
        <f t="shared" si="0"/>
        <v>18056789</v>
      </c>
    </row>
    <row r="13" spans="1:7">
      <c r="A13" s="13" t="s">
        <v>13</v>
      </c>
      <c r="C13" s="50">
        <v>11248175</v>
      </c>
      <c r="D13" s="21"/>
      <c r="E13" s="50">
        <v>6881957</v>
      </c>
      <c r="F13" s="51"/>
      <c r="G13" s="50">
        <f t="shared" si="0"/>
        <v>18130132</v>
      </c>
    </row>
    <row r="14" spans="1:7">
      <c r="A14" s="13" t="s">
        <v>14</v>
      </c>
      <c r="C14" s="50">
        <v>11367503</v>
      </c>
      <c r="D14" s="21"/>
      <c r="E14" s="50">
        <v>1211886</v>
      </c>
      <c r="F14" s="51"/>
      <c r="G14" s="50">
        <f t="shared" si="0"/>
        <v>12579389</v>
      </c>
    </row>
    <row r="15" spans="1:7">
      <c r="A15" s="13" t="s">
        <v>15</v>
      </c>
      <c r="C15" s="50">
        <v>11491899</v>
      </c>
      <c r="D15" s="21"/>
      <c r="E15" s="50">
        <v>1239022</v>
      </c>
      <c r="F15" s="51"/>
      <c r="G15" s="50">
        <f t="shared" si="0"/>
        <v>12730921</v>
      </c>
    </row>
    <row r="16" spans="1:7">
      <c r="A16" s="13" t="s">
        <v>16</v>
      </c>
      <c r="C16" s="50">
        <v>11636281</v>
      </c>
      <c r="D16" s="21"/>
      <c r="E16" s="50">
        <v>1266158</v>
      </c>
      <c r="F16" s="51"/>
      <c r="G16" s="50">
        <f t="shared" si="0"/>
        <v>12902439</v>
      </c>
    </row>
    <row r="17" spans="1:7">
      <c r="A17" s="13" t="s">
        <v>17</v>
      </c>
      <c r="C17" s="50">
        <v>11788798</v>
      </c>
      <c r="D17" s="21"/>
      <c r="E17" s="50">
        <v>1293294</v>
      </c>
      <c r="F17" s="51"/>
      <c r="G17" s="50">
        <f t="shared" si="0"/>
        <v>13082092</v>
      </c>
    </row>
    <row r="18" spans="1:7">
      <c r="A18" s="13" t="s">
        <v>18</v>
      </c>
      <c r="C18" s="50">
        <v>11925873</v>
      </c>
      <c r="D18" s="21"/>
      <c r="E18" s="50">
        <v>1320430</v>
      </c>
      <c r="F18" s="51"/>
      <c r="G18" s="50">
        <f t="shared" si="0"/>
        <v>13246303</v>
      </c>
    </row>
    <row r="19" spans="1:7">
      <c r="A19" s="13" t="s">
        <v>19</v>
      </c>
      <c r="C19" s="50">
        <v>11986608</v>
      </c>
      <c r="D19" s="21"/>
      <c r="E19" s="50">
        <v>1348086</v>
      </c>
      <c r="F19" s="51"/>
      <c r="G19" s="50">
        <f t="shared" si="0"/>
        <v>13334694</v>
      </c>
    </row>
    <row r="20" spans="1:7">
      <c r="A20" s="13" t="s">
        <v>20</v>
      </c>
      <c r="C20" s="50">
        <v>12167106</v>
      </c>
      <c r="D20" s="21"/>
      <c r="E20" s="50">
        <v>1375632</v>
      </c>
      <c r="F20" s="51"/>
      <c r="G20" s="50">
        <f t="shared" si="0"/>
        <v>13542738</v>
      </c>
    </row>
    <row r="21" spans="1:7">
      <c r="A21" s="13" t="s">
        <v>21</v>
      </c>
      <c r="C21" s="50">
        <v>12277164</v>
      </c>
      <c r="D21" s="21"/>
      <c r="E21" s="50">
        <v>1403482</v>
      </c>
      <c r="F21" s="51"/>
      <c r="G21" s="50">
        <f t="shared" si="0"/>
        <v>13680646</v>
      </c>
    </row>
    <row r="24" spans="1:7">
      <c r="A24" s="64" t="s">
        <v>69</v>
      </c>
      <c r="D24" s="8"/>
      <c r="E24" s="10" t="s">
        <v>24</v>
      </c>
      <c r="G24" s="10" t="s">
        <v>10</v>
      </c>
    </row>
    <row r="25" spans="1:7">
      <c r="A25" s="11" t="s">
        <v>76</v>
      </c>
      <c r="C25" s="12" t="s">
        <v>24</v>
      </c>
      <c r="D25" s="8"/>
      <c r="E25" s="12" t="s">
        <v>9</v>
      </c>
      <c r="G25" s="12" t="s">
        <v>24</v>
      </c>
    </row>
    <row r="26" spans="1:7">
      <c r="A26" s="13" t="str">
        <f>A9</f>
        <v>December 2013</v>
      </c>
      <c r="C26" s="50">
        <v>975351</v>
      </c>
      <c r="D26" s="21"/>
      <c r="E26" s="50">
        <v>115663</v>
      </c>
      <c r="F26" s="51"/>
      <c r="G26" s="50">
        <f>SUM(C26:E26)</f>
        <v>1091014</v>
      </c>
    </row>
    <row r="27" spans="1:7">
      <c r="A27" s="13" t="str">
        <f>A10</f>
        <v>January 2014</v>
      </c>
      <c r="C27" s="50">
        <v>978019</v>
      </c>
      <c r="D27" s="21"/>
      <c r="E27" s="50">
        <v>114010</v>
      </c>
      <c r="F27" s="51"/>
      <c r="G27" s="50">
        <f t="shared" ref="G27:G38" si="1">SUM(C27:E27)</f>
        <v>1092029</v>
      </c>
    </row>
    <row r="28" spans="1:7">
      <c r="A28" s="13" t="s">
        <v>11</v>
      </c>
      <c r="C28" s="50">
        <v>988355</v>
      </c>
      <c r="D28" s="21"/>
      <c r="E28" s="50">
        <v>116888</v>
      </c>
      <c r="F28" s="51"/>
      <c r="G28" s="50">
        <f t="shared" si="1"/>
        <v>1105243</v>
      </c>
    </row>
    <row r="29" spans="1:7">
      <c r="A29" s="13" t="s">
        <v>12</v>
      </c>
      <c r="C29" s="50">
        <v>989777</v>
      </c>
      <c r="D29" s="21"/>
      <c r="E29" s="50">
        <v>119670</v>
      </c>
      <c r="F29" s="51"/>
      <c r="G29" s="50">
        <f t="shared" si="1"/>
        <v>1109447</v>
      </c>
    </row>
    <row r="30" spans="1:7">
      <c r="A30" s="13" t="s">
        <v>13</v>
      </c>
      <c r="C30" s="50">
        <v>951832</v>
      </c>
      <c r="D30" s="21"/>
      <c r="E30" s="50">
        <v>122546</v>
      </c>
      <c r="F30" s="51"/>
      <c r="G30" s="50">
        <f t="shared" si="1"/>
        <v>1074378</v>
      </c>
    </row>
    <row r="31" spans="1:7">
      <c r="A31" s="13" t="s">
        <v>14</v>
      </c>
      <c r="C31" s="50">
        <v>959482</v>
      </c>
      <c r="D31" s="21"/>
      <c r="E31" s="50">
        <v>125422</v>
      </c>
      <c r="F31" s="51"/>
      <c r="G31" s="50">
        <f t="shared" si="1"/>
        <v>1084904</v>
      </c>
    </row>
    <row r="32" spans="1:7">
      <c r="A32" s="13" t="s">
        <v>15</v>
      </c>
      <c r="C32" s="50">
        <v>967771</v>
      </c>
      <c r="D32" s="21"/>
      <c r="E32" s="50">
        <v>128373</v>
      </c>
      <c r="F32" s="51"/>
      <c r="G32" s="50">
        <f t="shared" si="1"/>
        <v>1096144</v>
      </c>
    </row>
    <row r="33" spans="1:14">
      <c r="A33" s="13" t="s">
        <v>16</v>
      </c>
      <c r="C33" s="50">
        <v>978034</v>
      </c>
      <c r="D33" s="21"/>
      <c r="E33" s="50">
        <v>131324</v>
      </c>
      <c r="F33" s="51"/>
      <c r="G33" s="50">
        <f t="shared" si="1"/>
        <v>1109358</v>
      </c>
    </row>
    <row r="34" spans="1:14">
      <c r="A34" s="13" t="s">
        <v>17</v>
      </c>
      <c r="C34" s="50">
        <v>987000</v>
      </c>
      <c r="D34" s="21"/>
      <c r="E34" s="50">
        <v>134170</v>
      </c>
      <c r="F34" s="51"/>
      <c r="G34" s="50">
        <f t="shared" si="1"/>
        <v>1121170</v>
      </c>
    </row>
    <row r="35" spans="1:14">
      <c r="A35" s="13" t="s">
        <v>18</v>
      </c>
      <c r="C35" s="50">
        <v>997021</v>
      </c>
      <c r="D35" s="21"/>
      <c r="E35" s="50">
        <v>137087</v>
      </c>
      <c r="F35" s="51"/>
      <c r="G35" s="50">
        <f t="shared" si="1"/>
        <v>1134108</v>
      </c>
    </row>
    <row r="36" spans="1:14">
      <c r="A36" s="13" t="s">
        <v>19</v>
      </c>
      <c r="C36" s="50">
        <v>1007408</v>
      </c>
      <c r="D36" s="21"/>
      <c r="E36" s="50">
        <v>140057</v>
      </c>
      <c r="F36" s="51"/>
      <c r="G36" s="50">
        <f t="shared" si="1"/>
        <v>1147465</v>
      </c>
    </row>
    <row r="37" spans="1:14">
      <c r="A37" s="13" t="s">
        <v>20</v>
      </c>
      <c r="C37" s="50">
        <v>1017810</v>
      </c>
      <c r="D37" s="21"/>
      <c r="E37" s="50">
        <v>143016</v>
      </c>
      <c r="F37" s="51"/>
      <c r="G37" s="50">
        <f t="shared" si="1"/>
        <v>1160826</v>
      </c>
    </row>
    <row r="38" spans="1:14">
      <c r="A38" s="13" t="s">
        <v>21</v>
      </c>
      <c r="C38" s="50">
        <v>1025443</v>
      </c>
      <c r="D38" s="21"/>
      <c r="E38" s="50">
        <v>145668</v>
      </c>
      <c r="F38" s="51"/>
      <c r="G38" s="50">
        <f t="shared" si="1"/>
        <v>1171111</v>
      </c>
    </row>
    <row r="39" spans="1:14">
      <c r="A39" s="13"/>
      <c r="H39" s="18"/>
      <c r="N39" s="18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/>
  </sheetViews>
  <sheetFormatPr defaultRowHeight="12.75"/>
  <cols>
    <col min="1" max="2" width="2.7109375" style="67" customWidth="1"/>
    <col min="3" max="3" width="20.85546875" style="67" customWidth="1"/>
    <col min="4" max="4" width="2.7109375" style="67" customWidth="1"/>
    <col min="5" max="5" width="11.7109375" style="68" bestFit="1" customWidth="1"/>
    <col min="6" max="6" width="2.7109375" style="68" customWidth="1"/>
    <col min="7" max="7" width="11.7109375" style="68" bestFit="1" customWidth="1"/>
    <col min="8" max="8" width="2.7109375" style="68" customWidth="1"/>
    <col min="9" max="9" width="11.85546875" style="68" bestFit="1" customWidth="1"/>
    <col min="10" max="10" width="2.7109375" style="68" customWidth="1"/>
    <col min="11" max="11" width="10.85546875" style="68" bestFit="1" customWidth="1"/>
    <col min="12" max="12" width="2.7109375" style="68" customWidth="1"/>
    <col min="13" max="13" width="10.85546875" style="68" bestFit="1" customWidth="1"/>
    <col min="14" max="14" width="2.7109375" style="68" customWidth="1"/>
    <col min="15" max="15" width="10.85546875" style="68" bestFit="1" customWidth="1"/>
    <col min="16" max="16384" width="9.140625" style="67"/>
  </cols>
  <sheetData>
    <row r="1" spans="1:15">
      <c r="A1" s="4" t="s">
        <v>0</v>
      </c>
      <c r="B1" s="4"/>
      <c r="C1" s="4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" t="s">
        <v>64</v>
      </c>
      <c r="B2" s="4"/>
      <c r="C2" s="4"/>
      <c r="D2" s="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4" t="s">
        <v>111</v>
      </c>
      <c r="B3" s="4"/>
      <c r="C3" s="4"/>
      <c r="D3" s="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" t="s">
        <v>34</v>
      </c>
      <c r="B4" s="4"/>
      <c r="C4" s="4"/>
      <c r="D4" s="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4" t="str">
        <f>'Recon FF1 to Juris Acc Res'!A5</f>
        <v>Twelve Months Ended December 31, 2014</v>
      </c>
      <c r="B5" s="4"/>
      <c r="C5" s="4"/>
      <c r="D5" s="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>
      <c r="E7" s="73"/>
      <c r="G7" s="73"/>
      <c r="I7" s="73" t="s">
        <v>65</v>
      </c>
      <c r="K7" s="73" t="s">
        <v>66</v>
      </c>
      <c r="M7" s="73"/>
      <c r="O7" s="73"/>
    </row>
    <row r="8" spans="1:15">
      <c r="E8" s="75" t="s">
        <v>10</v>
      </c>
      <c r="G8" s="75" t="s">
        <v>67</v>
      </c>
      <c r="I8" s="75" t="s">
        <v>68</v>
      </c>
      <c r="K8" s="75" t="s">
        <v>68</v>
      </c>
      <c r="M8" s="75" t="s">
        <v>69</v>
      </c>
      <c r="O8" s="75" t="s">
        <v>70</v>
      </c>
    </row>
    <row r="9" spans="1:15">
      <c r="A9" s="159" t="s">
        <v>211</v>
      </c>
    </row>
    <row r="10" spans="1:15">
      <c r="B10" s="67" t="s">
        <v>23</v>
      </c>
      <c r="E10" s="67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>
      <c r="C11" s="67" t="s">
        <v>25</v>
      </c>
      <c r="E11" s="85">
        <f>SUM(G11:M11)</f>
        <v>15250093</v>
      </c>
      <c r="F11" s="85"/>
      <c r="G11" s="85">
        <v>3029765</v>
      </c>
      <c r="H11" s="85"/>
      <c r="I11" s="85">
        <v>10014793</v>
      </c>
      <c r="J11" s="85"/>
      <c r="K11" s="85">
        <v>638746</v>
      </c>
      <c r="L11" s="85"/>
      <c r="M11" s="85">
        <v>1566789</v>
      </c>
      <c r="N11" s="85"/>
      <c r="O11" s="85"/>
    </row>
    <row r="12" spans="1:15">
      <c r="C12" s="67" t="s">
        <v>71</v>
      </c>
      <c r="E12" s="68">
        <f>SUM(G12:M12)</f>
        <v>9584674</v>
      </c>
      <c r="F12" s="86"/>
      <c r="G12" s="86">
        <v>1853431</v>
      </c>
      <c r="H12" s="86"/>
      <c r="I12" s="86">
        <v>6199890</v>
      </c>
      <c r="J12" s="86"/>
      <c r="K12" s="86">
        <v>520558</v>
      </c>
      <c r="L12" s="86"/>
      <c r="M12" s="86">
        <v>1010795</v>
      </c>
      <c r="N12" s="86"/>
      <c r="O12" s="86"/>
    </row>
    <row r="13" spans="1:15">
      <c r="B13" s="67" t="s">
        <v>72</v>
      </c>
      <c r="E13" s="67"/>
    </row>
    <row r="14" spans="1:15">
      <c r="C14" s="67" t="s">
        <v>25</v>
      </c>
      <c r="E14" s="68">
        <f>SUM(G14:M14)</f>
        <v>9459617</v>
      </c>
      <c r="G14" s="68">
        <v>3223159</v>
      </c>
      <c r="I14" s="68">
        <v>4188739</v>
      </c>
      <c r="K14" s="68">
        <v>1245113</v>
      </c>
      <c r="M14" s="68">
        <v>802606</v>
      </c>
    </row>
    <row r="15" spans="1:15">
      <c r="C15" s="67" t="s">
        <v>71</v>
      </c>
      <c r="E15" s="68">
        <f>SUM(G15:M15)</f>
        <v>8369739</v>
      </c>
      <c r="G15" s="68">
        <v>2312042</v>
      </c>
      <c r="I15" s="68">
        <v>3462435</v>
      </c>
      <c r="K15" s="68">
        <v>1973362</v>
      </c>
      <c r="M15" s="68">
        <v>621900</v>
      </c>
    </row>
    <row r="16" spans="1:15">
      <c r="B16" s="67" t="s">
        <v>26</v>
      </c>
      <c r="E16" s="67"/>
    </row>
    <row r="17" spans="1:16">
      <c r="C17" s="67" t="s">
        <v>25</v>
      </c>
      <c r="E17" s="68">
        <f>SUM(G17:O17)</f>
        <v>454189</v>
      </c>
      <c r="O17" s="68">
        <v>454189</v>
      </c>
    </row>
    <row r="18" spans="1:16" s="80" customFormat="1">
      <c r="A18" s="67"/>
      <c r="B18" s="67"/>
      <c r="C18" s="67" t="s">
        <v>71</v>
      </c>
      <c r="D18" s="67"/>
      <c r="E18" s="68">
        <f>SUM(G18:O18)</f>
        <v>380162</v>
      </c>
      <c r="F18" s="68"/>
      <c r="G18" s="68"/>
      <c r="H18" s="68"/>
      <c r="I18" s="68"/>
      <c r="J18" s="68"/>
      <c r="K18" s="68"/>
      <c r="L18" s="68"/>
      <c r="M18" s="68"/>
      <c r="N18" s="68"/>
      <c r="O18" s="68">
        <v>380162</v>
      </c>
      <c r="P18" s="67"/>
    </row>
    <row r="19" spans="1:16" s="80" customFormat="1">
      <c r="A19" s="67"/>
      <c r="B19" s="67"/>
      <c r="C19" s="67"/>
      <c r="D19" s="67"/>
      <c r="E19" s="77">
        <f>SUM(E11:E18)</f>
        <v>43498474</v>
      </c>
      <c r="F19" s="68"/>
      <c r="G19" s="77">
        <f>SUM(G11:G18)</f>
        <v>10418397</v>
      </c>
      <c r="H19" s="68"/>
      <c r="I19" s="77">
        <f>SUM(I11:I18)</f>
        <v>23865857</v>
      </c>
      <c r="J19" s="68"/>
      <c r="K19" s="77">
        <f>SUM(K11:K18)</f>
        <v>4377779</v>
      </c>
      <c r="L19" s="68"/>
      <c r="M19" s="77">
        <f>SUM(M11:M18)</f>
        <v>4002090</v>
      </c>
      <c r="N19" s="68"/>
      <c r="O19" s="77">
        <f>SUM(O11:O18)</f>
        <v>834351</v>
      </c>
      <c r="P19" s="67"/>
    </row>
    <row r="20" spans="1:16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>
      <c r="A21" s="80"/>
      <c r="B21" s="80" t="s">
        <v>109</v>
      </c>
      <c r="C21" s="80"/>
      <c r="D21" s="8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>
      <c r="A22" s="80"/>
      <c r="B22" s="80"/>
      <c r="C22" s="80" t="s">
        <v>76</v>
      </c>
      <c r="D22" s="80"/>
      <c r="E22" s="68">
        <f>SUM(G22:O22)</f>
        <v>1225</v>
      </c>
      <c r="F22" s="79"/>
      <c r="G22" s="161">
        <v>1007</v>
      </c>
      <c r="H22" s="161"/>
      <c r="I22" s="161">
        <v>1142</v>
      </c>
      <c r="J22" s="161"/>
      <c r="K22" s="161">
        <v>-313</v>
      </c>
      <c r="L22" s="161"/>
      <c r="M22" s="161">
        <v>-611</v>
      </c>
      <c r="N22" s="161"/>
      <c r="O22" s="161"/>
      <c r="P22" s="79"/>
    </row>
    <row r="23" spans="1:16">
      <c r="C23" s="67" t="s">
        <v>110</v>
      </c>
      <c r="E23" s="68">
        <f>SUM(G23:O23)</f>
        <v>-782</v>
      </c>
      <c r="G23" s="78">
        <v>955</v>
      </c>
      <c r="H23" s="78"/>
      <c r="I23" s="78">
        <v>-122</v>
      </c>
      <c r="J23" s="78"/>
      <c r="K23" s="78">
        <f>-679+-187</f>
        <v>-866</v>
      </c>
      <c r="L23" s="78"/>
      <c r="M23" s="78">
        <v>-281</v>
      </c>
      <c r="N23" s="78"/>
      <c r="O23" s="78">
        <f>-408+-60</f>
        <v>-468</v>
      </c>
      <c r="P23" s="68"/>
    </row>
    <row r="24" spans="1:16">
      <c r="E24" s="77">
        <f>SUM(E22:E23)</f>
        <v>443</v>
      </c>
      <c r="G24" s="77">
        <f>SUM(G22:G23)</f>
        <v>1962</v>
      </c>
      <c r="I24" s="77">
        <f>SUM(I22:I23)</f>
        <v>1020</v>
      </c>
      <c r="K24" s="77">
        <f>SUM(K22:K23)</f>
        <v>-1179</v>
      </c>
      <c r="M24" s="77">
        <f>SUM(M22:M23)</f>
        <v>-892</v>
      </c>
      <c r="O24" s="77">
        <f>SUM(O22:O23)</f>
        <v>-468</v>
      </c>
      <c r="P24" s="68"/>
    </row>
    <row r="25" spans="1:16">
      <c r="P25" s="68"/>
    </row>
    <row r="26" spans="1:16" ht="13.5" thickBot="1">
      <c r="A26" s="282" t="s">
        <v>386</v>
      </c>
      <c r="B26" s="80"/>
      <c r="C26" s="80"/>
      <c r="D26" s="80"/>
      <c r="E26" s="87">
        <f>SUM(G26:O26)</f>
        <v>43498031</v>
      </c>
      <c r="F26" s="79"/>
      <c r="G26" s="87">
        <f>G19-G24</f>
        <v>10416435</v>
      </c>
      <c r="H26" s="79"/>
      <c r="I26" s="87">
        <f>I19-I24</f>
        <v>23864837</v>
      </c>
      <c r="J26" s="79"/>
      <c r="K26" s="87">
        <f>K19-K24</f>
        <v>4378958</v>
      </c>
      <c r="L26" s="79"/>
      <c r="M26" s="87">
        <f>M19-M24</f>
        <v>4002982</v>
      </c>
      <c r="N26" s="79"/>
      <c r="O26" s="87">
        <f>O19-O24</f>
        <v>834819</v>
      </c>
      <c r="P26" s="79"/>
    </row>
    <row r="27" spans="1:16" ht="13.5" thickTop="1"/>
    <row r="28" spans="1:16">
      <c r="J28" s="79"/>
      <c r="K28" s="79"/>
    </row>
    <row r="29" spans="1:16">
      <c r="H29" s="79"/>
      <c r="I29" s="79"/>
    </row>
  </sheetData>
  <printOptions horizontalCentered="1"/>
  <pageMargins left="0.17" right="0.17" top="1" bottom="0.17" header="0.3" footer="0.3"/>
  <pageSetup scale="95" orientation="landscape" r:id="rId1"/>
  <headerFooter>
    <oddFooter>&amp;C&amp;F -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zoomScaleNormal="100" workbookViewId="0"/>
  </sheetViews>
  <sheetFormatPr defaultRowHeight="12.75"/>
  <cols>
    <col min="1" max="1" width="13.140625" style="21" customWidth="1"/>
    <col min="2" max="2" width="1" style="8" customWidth="1"/>
    <col min="3" max="3" width="14.42578125" style="8" bestFit="1" customWidth="1"/>
    <col min="4" max="4" width="1.7109375" style="18" customWidth="1"/>
    <col min="5" max="5" width="14.42578125" style="8" bestFit="1" customWidth="1"/>
    <col min="6" max="6" width="1.7109375" style="18" customWidth="1"/>
    <col min="7" max="7" width="14.42578125" style="8" bestFit="1" customWidth="1"/>
    <col min="8" max="8" width="2.7109375" style="18" customWidth="1"/>
    <col min="9" max="9" width="9.7109375" style="8" bestFit="1" customWidth="1"/>
    <col min="10" max="10" width="1.85546875" style="18" customWidth="1"/>
    <col min="11" max="11" width="14.140625" style="8" bestFit="1" customWidth="1"/>
    <col min="12" max="12" width="1.85546875" style="18" customWidth="1"/>
    <col min="13" max="13" width="13.140625" style="8" bestFit="1" customWidth="1"/>
    <col min="14" max="14" width="2.7109375" style="18" customWidth="1"/>
    <col min="15" max="15" width="9.7109375" style="8" bestFit="1" customWidth="1"/>
    <col min="16" max="16" width="1.7109375" style="8" customWidth="1"/>
    <col min="17" max="17" width="10.140625" style="8" bestFit="1" customWidth="1"/>
    <col min="18" max="18" width="1.7109375" style="8" customWidth="1"/>
    <col min="19" max="19" width="14.140625" style="8" bestFit="1" customWidth="1"/>
    <col min="20" max="20" width="1.7109375" style="8" customWidth="1"/>
    <col min="21" max="21" width="13.140625" style="8" bestFit="1" customWidth="1"/>
    <col min="22" max="16384" width="9.140625" style="8"/>
  </cols>
  <sheetData>
    <row r="1" spans="1:19">
      <c r="A1" s="5" t="s">
        <v>0</v>
      </c>
      <c r="B1" s="6"/>
      <c r="C1" s="6"/>
      <c r="D1" s="7"/>
      <c r="E1" s="6"/>
      <c r="F1" s="7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5" t="s">
        <v>94</v>
      </c>
      <c r="B3" s="6"/>
      <c r="C3" s="6"/>
      <c r="D3" s="7"/>
      <c r="E3" s="6"/>
      <c r="F3" s="7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5" t="str">
        <f>'General Plant'!A4</f>
        <v>Thirteen Months Ended December 31, 2014</v>
      </c>
      <c r="B4" s="6"/>
      <c r="C4" s="6"/>
      <c r="D4" s="7"/>
      <c r="E4" s="6"/>
      <c r="F4" s="7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P5" s="18"/>
      <c r="R5" s="18"/>
    </row>
    <row r="7" spans="1:19">
      <c r="C7" s="121" t="s">
        <v>169</v>
      </c>
      <c r="D7" s="7"/>
      <c r="E7" s="6"/>
      <c r="F7" s="7"/>
      <c r="G7" s="6"/>
      <c r="H7" s="6"/>
      <c r="I7" s="6"/>
      <c r="J7" s="6"/>
      <c r="K7" s="6"/>
    </row>
    <row r="8" spans="1:19">
      <c r="C8" s="120" t="s">
        <v>170</v>
      </c>
      <c r="D8" s="22"/>
      <c r="E8" s="22"/>
      <c r="F8" s="22"/>
      <c r="G8" s="22"/>
      <c r="H8" s="22"/>
      <c r="I8" s="22"/>
      <c r="J8" s="22"/>
      <c r="K8" s="22"/>
    </row>
    <row r="9" spans="1:19">
      <c r="C9" s="10" t="s">
        <v>25</v>
      </c>
      <c r="E9" s="10" t="s">
        <v>25</v>
      </c>
      <c r="G9" s="10" t="s">
        <v>10</v>
      </c>
      <c r="I9" s="163" t="s">
        <v>214</v>
      </c>
      <c r="K9" s="163" t="s">
        <v>215</v>
      </c>
    </row>
    <row r="10" spans="1:19">
      <c r="C10" s="12" t="s">
        <v>24</v>
      </c>
      <c r="E10" s="12" t="s">
        <v>9</v>
      </c>
      <c r="G10" s="12" t="s">
        <v>25</v>
      </c>
      <c r="I10" s="164" t="s">
        <v>213</v>
      </c>
      <c r="K10" s="164" t="s">
        <v>63</v>
      </c>
    </row>
    <row r="11" spans="1:19">
      <c r="A11" s="13" t="str">
        <f>'Plant in Service'!A9</f>
        <v>December 2013</v>
      </c>
      <c r="C11" s="48">
        <v>25348037</v>
      </c>
      <c r="D11" s="49"/>
      <c r="E11" s="48">
        <v>22181053</v>
      </c>
      <c r="F11" s="15"/>
      <c r="G11" s="14">
        <f t="shared" ref="G11:G23" si="0">SUM(C11:E11)</f>
        <v>47529090</v>
      </c>
      <c r="H11" s="49"/>
      <c r="I11" s="14">
        <v>17619</v>
      </c>
      <c r="K11" s="14">
        <f>G11-I11</f>
        <v>47511471</v>
      </c>
    </row>
    <row r="12" spans="1:19">
      <c r="A12" s="13" t="str">
        <f>'Plant in Service'!A10</f>
        <v>January 2014</v>
      </c>
      <c r="C12" s="50">
        <v>25498036</v>
      </c>
      <c r="D12" s="51"/>
      <c r="E12" s="50">
        <v>22420346</v>
      </c>
      <c r="F12" s="17"/>
      <c r="G12" s="16">
        <f t="shared" si="0"/>
        <v>47918382</v>
      </c>
      <c r="H12" s="60"/>
      <c r="I12" s="16">
        <v>38841</v>
      </c>
      <c r="K12" s="16">
        <f t="shared" ref="K12:K23" si="1">G12-I12</f>
        <v>47879541</v>
      </c>
    </row>
    <row r="13" spans="1:19">
      <c r="A13" s="13" t="s">
        <v>11</v>
      </c>
      <c r="C13" s="50">
        <v>24809920</v>
      </c>
      <c r="D13" s="51"/>
      <c r="E13" s="50">
        <v>22654967</v>
      </c>
      <c r="F13" s="17"/>
      <c r="G13" s="16">
        <f t="shared" si="0"/>
        <v>47464887</v>
      </c>
      <c r="H13" s="60"/>
      <c r="I13" s="16">
        <v>22219</v>
      </c>
      <c r="K13" s="16">
        <f t="shared" si="1"/>
        <v>47442668</v>
      </c>
    </row>
    <row r="14" spans="1:19">
      <c r="A14" s="13" t="s">
        <v>12</v>
      </c>
      <c r="C14" s="50">
        <v>24945419</v>
      </c>
      <c r="D14" s="51"/>
      <c r="E14" s="50">
        <v>22889002</v>
      </c>
      <c r="F14" s="17"/>
      <c r="G14" s="16">
        <f t="shared" si="0"/>
        <v>47834421</v>
      </c>
      <c r="H14" s="60"/>
      <c r="I14" s="16">
        <v>3619</v>
      </c>
      <c r="K14" s="16">
        <f t="shared" si="1"/>
        <v>47830802</v>
      </c>
    </row>
    <row r="15" spans="1:19">
      <c r="A15" s="13" t="s">
        <v>13</v>
      </c>
      <c r="C15" s="50">
        <v>24844038</v>
      </c>
      <c r="D15" s="51"/>
      <c r="E15" s="50">
        <v>23125333</v>
      </c>
      <c r="F15" s="17"/>
      <c r="G15" s="16">
        <f t="shared" si="0"/>
        <v>47969371</v>
      </c>
      <c r="H15" s="60"/>
      <c r="I15" s="16">
        <v>-16620</v>
      </c>
      <c r="K15" s="16">
        <f t="shared" si="1"/>
        <v>47985991</v>
      </c>
    </row>
    <row r="16" spans="1:19">
      <c r="A16" s="13" t="s">
        <v>14</v>
      </c>
      <c r="C16" s="50">
        <v>25040535</v>
      </c>
      <c r="D16" s="51"/>
      <c r="E16" s="50">
        <v>16623458</v>
      </c>
      <c r="F16" s="17"/>
      <c r="G16" s="16">
        <f t="shared" si="0"/>
        <v>41663993</v>
      </c>
      <c r="H16" s="60"/>
      <c r="I16" s="16">
        <v>-15620</v>
      </c>
      <c r="K16" s="16">
        <f t="shared" si="1"/>
        <v>41679613</v>
      </c>
    </row>
    <row r="17" spans="1:19">
      <c r="A17" s="13" t="s">
        <v>15</v>
      </c>
      <c r="C17" s="50">
        <v>25185940</v>
      </c>
      <c r="D17" s="51"/>
      <c r="E17" s="50">
        <v>16881720</v>
      </c>
      <c r="F17" s="17"/>
      <c r="G17" s="16">
        <f t="shared" si="0"/>
        <v>42067660</v>
      </c>
      <c r="H17" s="60"/>
      <c r="I17" s="16">
        <v>-8518</v>
      </c>
      <c r="K17" s="16">
        <f t="shared" si="1"/>
        <v>42076178</v>
      </c>
    </row>
    <row r="18" spans="1:19">
      <c r="A18" s="13" t="s">
        <v>16</v>
      </c>
      <c r="C18" s="50">
        <v>26489293</v>
      </c>
      <c r="D18" s="51"/>
      <c r="E18" s="50">
        <v>17120316</v>
      </c>
      <c r="F18" s="17"/>
      <c r="G18" s="16">
        <f t="shared" si="0"/>
        <v>43609609</v>
      </c>
      <c r="H18" s="60"/>
      <c r="I18" s="16">
        <v>1131178</v>
      </c>
      <c r="K18" s="16">
        <f t="shared" si="1"/>
        <v>42478431</v>
      </c>
    </row>
    <row r="19" spans="1:19">
      <c r="A19" s="13" t="s">
        <v>17</v>
      </c>
      <c r="C19" s="50">
        <v>25054859</v>
      </c>
      <c r="D19" s="51"/>
      <c r="E19" s="50">
        <v>17360499</v>
      </c>
      <c r="F19" s="17"/>
      <c r="G19" s="16">
        <f t="shared" si="0"/>
        <v>42415358</v>
      </c>
      <c r="H19" s="60"/>
      <c r="I19" s="16">
        <v>323939</v>
      </c>
      <c r="K19" s="16">
        <f t="shared" si="1"/>
        <v>42091419</v>
      </c>
    </row>
    <row r="20" spans="1:19">
      <c r="A20" s="13" t="s">
        <v>18</v>
      </c>
      <c r="C20" s="50">
        <v>25093563</v>
      </c>
      <c r="D20" s="51"/>
      <c r="E20" s="50">
        <v>17602138</v>
      </c>
      <c r="F20" s="17"/>
      <c r="G20" s="16">
        <f t="shared" si="0"/>
        <v>42695701</v>
      </c>
      <c r="H20" s="60"/>
      <c r="I20" s="16">
        <v>349044</v>
      </c>
      <c r="K20" s="16">
        <f t="shared" si="1"/>
        <v>42346657</v>
      </c>
    </row>
    <row r="21" spans="1:19">
      <c r="A21" s="13" t="s">
        <v>19</v>
      </c>
      <c r="C21" s="50">
        <v>25006698</v>
      </c>
      <c r="D21" s="51"/>
      <c r="E21" s="50">
        <v>17845076</v>
      </c>
      <c r="F21" s="17"/>
      <c r="G21" s="16">
        <f t="shared" si="0"/>
        <v>42851774</v>
      </c>
      <c r="H21" s="60"/>
      <c r="I21" s="16">
        <v>139206</v>
      </c>
      <c r="K21" s="16">
        <f t="shared" si="1"/>
        <v>42712568</v>
      </c>
    </row>
    <row r="22" spans="1:19">
      <c r="A22" s="13" t="s">
        <v>20</v>
      </c>
      <c r="C22" s="50">
        <v>25003260</v>
      </c>
      <c r="D22" s="51"/>
      <c r="E22" s="50">
        <v>18089064</v>
      </c>
      <c r="F22" s="17"/>
      <c r="G22" s="16">
        <f t="shared" si="0"/>
        <v>43092324</v>
      </c>
      <c r="H22" s="60"/>
      <c r="I22" s="16">
        <v>14945</v>
      </c>
      <c r="K22" s="16">
        <f t="shared" si="1"/>
        <v>43077379</v>
      </c>
    </row>
    <row r="23" spans="1:19">
      <c r="A23" s="13" t="s">
        <v>21</v>
      </c>
      <c r="C23" s="50">
        <v>25163899</v>
      </c>
      <c r="D23" s="51"/>
      <c r="E23" s="50">
        <v>18334573</v>
      </c>
      <c r="F23" s="17"/>
      <c r="G23" s="16">
        <f t="shared" si="0"/>
        <v>43498472</v>
      </c>
      <c r="H23" s="60"/>
      <c r="I23" s="16">
        <v>442</v>
      </c>
      <c r="K23" s="16">
        <f t="shared" si="1"/>
        <v>43498030</v>
      </c>
    </row>
    <row r="26" spans="1:19">
      <c r="C26" s="62" t="s">
        <v>83</v>
      </c>
      <c r="D26" s="22"/>
      <c r="E26" s="22"/>
      <c r="F26" s="22"/>
      <c r="G26" s="22"/>
      <c r="I26" s="63" t="s">
        <v>88</v>
      </c>
      <c r="J26" s="22"/>
      <c r="K26" s="22"/>
      <c r="L26" s="22"/>
      <c r="M26" s="22"/>
      <c r="O26" s="166" t="s">
        <v>216</v>
      </c>
      <c r="P26" s="22"/>
      <c r="Q26" s="22"/>
      <c r="R26" s="22"/>
      <c r="S26" s="22"/>
    </row>
    <row r="27" spans="1:19">
      <c r="C27" s="10" t="s">
        <v>25</v>
      </c>
      <c r="E27" s="10" t="s">
        <v>25</v>
      </c>
      <c r="G27" s="10" t="s">
        <v>10</v>
      </c>
      <c r="I27" s="10" t="s">
        <v>25</v>
      </c>
      <c r="K27" s="10" t="s">
        <v>25</v>
      </c>
      <c r="M27" s="10" t="s">
        <v>10</v>
      </c>
      <c r="O27" s="165" t="s">
        <v>10</v>
      </c>
      <c r="Q27" s="165" t="s">
        <v>214</v>
      </c>
      <c r="R27" s="18"/>
      <c r="S27" s="165" t="s">
        <v>215</v>
      </c>
    </row>
    <row r="28" spans="1:19">
      <c r="C28" s="122" t="s">
        <v>24</v>
      </c>
      <c r="E28" s="12" t="s">
        <v>9</v>
      </c>
      <c r="G28" s="12" t="s">
        <v>25</v>
      </c>
      <c r="I28" s="12" t="s">
        <v>24</v>
      </c>
      <c r="K28" s="12" t="s">
        <v>9</v>
      </c>
      <c r="M28" s="12" t="s">
        <v>25</v>
      </c>
      <c r="O28" s="12" t="s">
        <v>25</v>
      </c>
      <c r="Q28" s="164" t="s">
        <v>213</v>
      </c>
      <c r="R28" s="18"/>
      <c r="S28" s="164" t="s">
        <v>63</v>
      </c>
    </row>
    <row r="29" spans="1:19">
      <c r="A29" s="13" t="str">
        <f>A11</f>
        <v>December 2013</v>
      </c>
      <c r="C29" s="50">
        <v>1579621</v>
      </c>
      <c r="D29" s="51"/>
      <c r="E29" s="50">
        <v>1337401</v>
      </c>
      <c r="F29" s="17"/>
      <c r="G29" s="16">
        <f t="shared" ref="G29:G41" si="2">SUM(C29:E29)</f>
        <v>2917022</v>
      </c>
      <c r="H29" s="60"/>
      <c r="I29" s="50">
        <v>814289</v>
      </c>
      <c r="J29" s="51"/>
      <c r="K29" s="50">
        <v>751813</v>
      </c>
      <c r="L29" s="17"/>
      <c r="M29" s="16">
        <f>SUM(I29:K29)</f>
        <v>1566102</v>
      </c>
      <c r="N29" s="60"/>
      <c r="O29" s="16">
        <f>G29+M29</f>
        <v>4483124</v>
      </c>
      <c r="Q29" s="16">
        <v>3027</v>
      </c>
      <c r="S29" s="16">
        <f>O29-Q29</f>
        <v>4480097</v>
      </c>
    </row>
    <row r="30" spans="1:19">
      <c r="A30" s="13" t="str">
        <f>A12</f>
        <v>January 2014</v>
      </c>
      <c r="C30" s="50">
        <v>1554530</v>
      </c>
      <c r="D30" s="51"/>
      <c r="E30" s="50">
        <v>1292383</v>
      </c>
      <c r="F30" s="17"/>
      <c r="G30" s="16">
        <f t="shared" si="2"/>
        <v>2846913</v>
      </c>
      <c r="H30" s="60"/>
      <c r="I30" s="50">
        <v>795371</v>
      </c>
      <c r="J30" s="51"/>
      <c r="K30" s="50">
        <v>714720</v>
      </c>
      <c r="L30" s="17"/>
      <c r="M30" s="16">
        <f t="shared" ref="M30:M41" si="3">SUM(I30:K30)</f>
        <v>1510091</v>
      </c>
      <c r="N30" s="60"/>
      <c r="O30" s="16">
        <f t="shared" ref="O30:O41" si="4">G30+M30</f>
        <v>4357004</v>
      </c>
      <c r="Q30" s="16">
        <v>4330</v>
      </c>
      <c r="S30" s="16">
        <f t="shared" ref="S30:S41" si="5">O30-Q30</f>
        <v>4352674</v>
      </c>
    </row>
    <row r="31" spans="1:19">
      <c r="A31" s="13" t="s">
        <v>11</v>
      </c>
      <c r="C31" s="50">
        <v>1513741</v>
      </c>
      <c r="D31" s="51"/>
      <c r="E31" s="50">
        <v>1302967</v>
      </c>
      <c r="F31" s="17"/>
      <c r="G31" s="16">
        <f t="shared" si="2"/>
        <v>2816708</v>
      </c>
      <c r="H31" s="60"/>
      <c r="I31" s="50">
        <v>773832</v>
      </c>
      <c r="J31" s="51"/>
      <c r="K31" s="50">
        <v>724255</v>
      </c>
      <c r="L31" s="17"/>
      <c r="M31" s="16">
        <f t="shared" si="3"/>
        <v>1498087</v>
      </c>
      <c r="N31" s="60"/>
      <c r="O31" s="16">
        <f t="shared" si="4"/>
        <v>4314795</v>
      </c>
      <c r="Q31" s="16">
        <v>2627</v>
      </c>
      <c r="S31" s="16">
        <f t="shared" si="5"/>
        <v>4312168</v>
      </c>
    </row>
    <row r="32" spans="1:19">
      <c r="A32" s="13" t="s">
        <v>12</v>
      </c>
      <c r="C32" s="50">
        <v>1524848</v>
      </c>
      <c r="D32" s="51"/>
      <c r="E32" s="50">
        <v>1311895</v>
      </c>
      <c r="F32" s="17"/>
      <c r="G32" s="16">
        <f t="shared" si="2"/>
        <v>2836743</v>
      </c>
      <c r="H32" s="60"/>
      <c r="I32" s="50">
        <v>779684</v>
      </c>
      <c r="J32" s="51"/>
      <c r="K32" s="50">
        <v>733642</v>
      </c>
      <c r="L32" s="17"/>
      <c r="M32" s="16">
        <f t="shared" si="3"/>
        <v>1513326</v>
      </c>
      <c r="N32" s="60"/>
      <c r="O32" s="16">
        <f t="shared" si="4"/>
        <v>4350069</v>
      </c>
      <c r="Q32" s="16">
        <v>152</v>
      </c>
      <c r="S32" s="16">
        <f t="shared" si="5"/>
        <v>4349917</v>
      </c>
    </row>
    <row r="33" spans="1:19">
      <c r="A33" s="13" t="s">
        <v>13</v>
      </c>
      <c r="C33" s="50">
        <v>1516245</v>
      </c>
      <c r="D33" s="51"/>
      <c r="E33" s="50">
        <v>1322495</v>
      </c>
      <c r="F33" s="17"/>
      <c r="G33" s="16">
        <f t="shared" si="2"/>
        <v>2838740</v>
      </c>
      <c r="H33" s="60"/>
      <c r="I33" s="50">
        <v>775546</v>
      </c>
      <c r="J33" s="51"/>
      <c r="K33" s="50">
        <v>743288</v>
      </c>
      <c r="L33" s="17"/>
      <c r="M33" s="16">
        <f t="shared" si="3"/>
        <v>1518834</v>
      </c>
      <c r="N33" s="60"/>
      <c r="O33" s="16">
        <f t="shared" si="4"/>
        <v>4357574</v>
      </c>
      <c r="Q33" s="16">
        <v>48</v>
      </c>
      <c r="S33" s="16">
        <f t="shared" si="5"/>
        <v>4357526</v>
      </c>
    </row>
    <row r="34" spans="1:19">
      <c r="A34" s="13" t="s">
        <v>14</v>
      </c>
      <c r="C34" s="50">
        <v>1527427</v>
      </c>
      <c r="D34" s="51"/>
      <c r="E34" s="50">
        <v>934451</v>
      </c>
      <c r="F34" s="17"/>
      <c r="G34" s="16">
        <f t="shared" si="2"/>
        <v>2461878</v>
      </c>
      <c r="H34" s="60"/>
      <c r="I34" s="50">
        <v>781396</v>
      </c>
      <c r="J34" s="51"/>
      <c r="K34" s="50">
        <v>551755</v>
      </c>
      <c r="L34" s="17"/>
      <c r="M34" s="16">
        <f t="shared" si="3"/>
        <v>1333151</v>
      </c>
      <c r="N34" s="60"/>
      <c r="O34" s="16">
        <f t="shared" si="4"/>
        <v>3795029</v>
      </c>
      <c r="Q34" s="16">
        <v>137</v>
      </c>
      <c r="S34" s="16">
        <f t="shared" si="5"/>
        <v>3794892</v>
      </c>
    </row>
    <row r="35" spans="1:19">
      <c r="A35" s="13" t="s">
        <v>15</v>
      </c>
      <c r="C35" s="50">
        <v>1536915</v>
      </c>
      <c r="D35" s="51"/>
      <c r="E35" s="50">
        <v>945855</v>
      </c>
      <c r="F35" s="17"/>
      <c r="G35" s="16">
        <f t="shared" si="2"/>
        <v>2482770</v>
      </c>
      <c r="H35" s="60"/>
      <c r="I35" s="50">
        <v>786391</v>
      </c>
      <c r="J35" s="51"/>
      <c r="K35" s="50">
        <v>562433</v>
      </c>
      <c r="L35" s="17"/>
      <c r="M35" s="16">
        <f t="shared" si="3"/>
        <v>1348824</v>
      </c>
      <c r="N35" s="60"/>
      <c r="O35" s="16">
        <f t="shared" si="4"/>
        <v>3831594</v>
      </c>
      <c r="Q35" s="16">
        <v>521</v>
      </c>
      <c r="S35" s="16">
        <f t="shared" si="5"/>
        <v>3831073</v>
      </c>
    </row>
    <row r="36" spans="1:19">
      <c r="A36" s="13" t="s">
        <v>16</v>
      </c>
      <c r="C36" s="50">
        <v>1548684</v>
      </c>
      <c r="D36" s="51"/>
      <c r="E36" s="50">
        <v>956541</v>
      </c>
      <c r="F36" s="17"/>
      <c r="G36" s="16">
        <f t="shared" si="2"/>
        <v>2505225</v>
      </c>
      <c r="H36" s="60"/>
      <c r="I36" s="50">
        <v>792536</v>
      </c>
      <c r="J36" s="51"/>
      <c r="K36" s="50">
        <v>572183</v>
      </c>
      <c r="L36" s="17"/>
      <c r="M36" s="16">
        <f t="shared" si="3"/>
        <v>1364719</v>
      </c>
      <c r="N36" s="60"/>
      <c r="O36" s="16">
        <f t="shared" si="4"/>
        <v>3869944</v>
      </c>
      <c r="Q36" s="16">
        <v>-670</v>
      </c>
      <c r="S36" s="16">
        <f t="shared" si="5"/>
        <v>3870614</v>
      </c>
    </row>
    <row r="37" spans="1:19">
      <c r="A37" s="13" t="s">
        <v>17</v>
      </c>
      <c r="C37" s="50">
        <v>1557598</v>
      </c>
      <c r="D37" s="51"/>
      <c r="E37" s="50">
        <v>967290</v>
      </c>
      <c r="F37" s="17"/>
      <c r="G37" s="16">
        <f t="shared" si="2"/>
        <v>2524888</v>
      </c>
      <c r="H37" s="60"/>
      <c r="I37" s="50">
        <v>797161</v>
      </c>
      <c r="J37" s="51"/>
      <c r="K37" s="50">
        <v>582004</v>
      </c>
      <c r="L37" s="17"/>
      <c r="M37" s="16">
        <f t="shared" si="3"/>
        <v>1379165</v>
      </c>
      <c r="N37" s="60"/>
      <c r="O37" s="16">
        <f t="shared" si="4"/>
        <v>3904053</v>
      </c>
      <c r="Q37" s="16">
        <v>-670</v>
      </c>
      <c r="S37" s="16">
        <f t="shared" si="5"/>
        <v>3904723</v>
      </c>
    </row>
    <row r="38" spans="1:19">
      <c r="A38" s="13" t="s">
        <v>18</v>
      </c>
      <c r="C38" s="50">
        <v>1559366</v>
      </c>
      <c r="D38" s="51"/>
      <c r="E38" s="50">
        <v>978095</v>
      </c>
      <c r="F38" s="17"/>
      <c r="G38" s="16">
        <f t="shared" si="2"/>
        <v>2537461</v>
      </c>
      <c r="H38" s="60"/>
      <c r="I38" s="50">
        <v>798252</v>
      </c>
      <c r="J38" s="51"/>
      <c r="K38" s="50">
        <v>591891</v>
      </c>
      <c r="L38" s="17"/>
      <c r="M38" s="16">
        <f t="shared" si="3"/>
        <v>1390143</v>
      </c>
      <c r="N38" s="60"/>
      <c r="O38" s="16">
        <f t="shared" si="4"/>
        <v>3927604</v>
      </c>
      <c r="Q38" s="16">
        <v>9307</v>
      </c>
      <c r="S38" s="16">
        <f t="shared" si="5"/>
        <v>3918297</v>
      </c>
    </row>
    <row r="39" spans="1:19">
      <c r="A39" s="13" t="s">
        <v>19</v>
      </c>
      <c r="C39" s="50">
        <v>1565410</v>
      </c>
      <c r="D39" s="51"/>
      <c r="E39" s="50">
        <v>988951</v>
      </c>
      <c r="F39" s="17"/>
      <c r="G39" s="16">
        <f t="shared" si="2"/>
        <v>2554361</v>
      </c>
      <c r="H39" s="60"/>
      <c r="I39" s="50">
        <v>801508</v>
      </c>
      <c r="J39" s="51"/>
      <c r="K39" s="50">
        <v>601837</v>
      </c>
      <c r="L39" s="17"/>
      <c r="M39" s="16">
        <f t="shared" si="3"/>
        <v>1403345</v>
      </c>
      <c r="N39" s="60"/>
      <c r="O39" s="16">
        <f t="shared" si="4"/>
        <v>3957706</v>
      </c>
      <c r="Q39" s="16">
        <v>-447</v>
      </c>
      <c r="S39" s="16">
        <f t="shared" si="5"/>
        <v>3958153</v>
      </c>
    </row>
    <row r="40" spans="1:19">
      <c r="A40" s="13" t="s">
        <v>20</v>
      </c>
      <c r="C40" s="50">
        <v>1560446</v>
      </c>
      <c r="D40" s="51"/>
      <c r="E40" s="50">
        <v>999844</v>
      </c>
      <c r="F40" s="17"/>
      <c r="G40" s="16">
        <f t="shared" si="2"/>
        <v>2560290</v>
      </c>
      <c r="H40" s="60"/>
      <c r="I40" s="50">
        <v>799201</v>
      </c>
      <c r="J40" s="51"/>
      <c r="K40" s="50">
        <v>611833</v>
      </c>
      <c r="L40" s="17"/>
      <c r="M40" s="16">
        <f t="shared" si="3"/>
        <v>1411034</v>
      </c>
      <c r="N40" s="60"/>
      <c r="O40" s="16">
        <f t="shared" si="4"/>
        <v>3971324</v>
      </c>
      <c r="Q40" s="16">
        <v>10308</v>
      </c>
      <c r="S40" s="16">
        <f t="shared" si="5"/>
        <v>3961016</v>
      </c>
    </row>
    <row r="41" spans="1:19">
      <c r="A41" s="13" t="s">
        <v>21</v>
      </c>
      <c r="C41" s="50">
        <v>1566789</v>
      </c>
      <c r="D41" s="51"/>
      <c r="E41" s="50">
        <v>1010795</v>
      </c>
      <c r="F41" s="17"/>
      <c r="G41" s="16">
        <f t="shared" si="2"/>
        <v>2577584</v>
      </c>
      <c r="H41" s="60"/>
      <c r="I41" s="50">
        <v>802606</v>
      </c>
      <c r="J41" s="51"/>
      <c r="K41" s="50">
        <v>621900</v>
      </c>
      <c r="L41" s="17"/>
      <c r="M41" s="16">
        <f t="shared" si="3"/>
        <v>1424506</v>
      </c>
      <c r="N41" s="60"/>
      <c r="O41" s="16">
        <f t="shared" si="4"/>
        <v>4002090</v>
      </c>
      <c r="Q41" s="16">
        <v>-892</v>
      </c>
      <c r="S41" s="16">
        <f t="shared" si="5"/>
        <v>4002982</v>
      </c>
    </row>
    <row r="43" spans="1:19">
      <c r="A43" s="123"/>
    </row>
    <row r="45" spans="1:19">
      <c r="H45" s="60"/>
    </row>
    <row r="46" spans="1:19">
      <c r="H46" s="60"/>
    </row>
    <row r="47" spans="1:19">
      <c r="H47" s="60"/>
    </row>
    <row r="48" spans="1:19">
      <c r="H48" s="60"/>
    </row>
  </sheetData>
  <printOptions horizontalCentered="1"/>
  <pageMargins left="0.17" right="0.17" top="1" bottom="0.6" header="0.3" footer="0.2"/>
  <pageSetup scale="90" orientation="landscape" r:id="rId1"/>
  <headerFooter>
    <oddFooter>&amp;C&amp;F -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/>
  </sheetViews>
  <sheetFormatPr defaultRowHeight="12.75"/>
  <cols>
    <col min="1" max="1" width="2.7109375" style="237" customWidth="1"/>
    <col min="2" max="2" width="20.7109375" style="237" customWidth="1"/>
    <col min="3" max="3" width="3.7109375" style="240" customWidth="1"/>
    <col min="4" max="4" width="20.7109375" style="237" customWidth="1"/>
    <col min="5" max="16384" width="9.140625" style="237"/>
  </cols>
  <sheetData>
    <row r="1" spans="1:4">
      <c r="A1" s="4" t="s">
        <v>0</v>
      </c>
      <c r="B1" s="238"/>
      <c r="C1" s="239"/>
      <c r="D1" s="239"/>
    </row>
    <row r="2" spans="1:4">
      <c r="A2" s="4" t="s">
        <v>64</v>
      </c>
      <c r="B2" s="238"/>
      <c r="C2" s="239"/>
      <c r="D2" s="239"/>
    </row>
    <row r="3" spans="1:4">
      <c r="A3" s="4" t="s">
        <v>379</v>
      </c>
      <c r="B3" s="238"/>
      <c r="C3" s="239"/>
      <c r="D3" s="239"/>
    </row>
    <row r="4" spans="1:4">
      <c r="A4" s="238" t="s">
        <v>355</v>
      </c>
      <c r="B4" s="238"/>
      <c r="C4" s="239"/>
      <c r="D4" s="239"/>
    </row>
    <row r="5" spans="1:4">
      <c r="A5" s="238" t="s">
        <v>143</v>
      </c>
      <c r="B5" s="238"/>
      <c r="C5" s="239"/>
      <c r="D5" s="239"/>
    </row>
    <row r="8" spans="1:4">
      <c r="D8" s="241" t="s">
        <v>10</v>
      </c>
    </row>
    <row r="9" spans="1:4">
      <c r="A9" s="237" t="s">
        <v>356</v>
      </c>
      <c r="D9" s="240"/>
    </row>
    <row r="10" spans="1:4">
      <c r="B10" s="273" t="s">
        <v>28</v>
      </c>
      <c r="C10" s="242"/>
      <c r="D10" s="242">
        <v>2637128</v>
      </c>
    </row>
    <row r="11" spans="1:4">
      <c r="B11" s="278" t="s">
        <v>32</v>
      </c>
      <c r="D11" s="240">
        <v>2684864</v>
      </c>
    </row>
    <row r="12" spans="1:4">
      <c r="B12" s="237" t="s">
        <v>11</v>
      </c>
      <c r="D12" s="240">
        <v>2745885</v>
      </c>
    </row>
    <row r="13" spans="1:4">
      <c r="B13" s="237" t="s">
        <v>12</v>
      </c>
      <c r="D13" s="240">
        <v>2844877</v>
      </c>
    </row>
    <row r="14" spans="1:4">
      <c r="B14" s="237" t="s">
        <v>13</v>
      </c>
      <c r="D14" s="240">
        <v>3210538</v>
      </c>
    </row>
    <row r="15" spans="1:4">
      <c r="B15" s="237" t="s">
        <v>14</v>
      </c>
      <c r="D15" s="240">
        <v>3356759</v>
      </c>
    </row>
    <row r="16" spans="1:4">
      <c r="B16" s="237" t="s">
        <v>15</v>
      </c>
      <c r="D16" s="240">
        <v>3411587</v>
      </c>
    </row>
    <row r="17" spans="1:4">
      <c r="B17" s="237" t="s">
        <v>16</v>
      </c>
      <c r="D17" s="240">
        <v>3541098</v>
      </c>
    </row>
    <row r="18" spans="1:4">
      <c r="B18" s="237" t="s">
        <v>17</v>
      </c>
      <c r="D18" s="240">
        <v>3914188</v>
      </c>
    </row>
    <row r="19" spans="1:4">
      <c r="B19" s="237" t="s">
        <v>18</v>
      </c>
      <c r="D19" s="240">
        <v>4279026</v>
      </c>
    </row>
    <row r="20" spans="1:4">
      <c r="B20" s="237" t="s">
        <v>19</v>
      </c>
      <c r="D20" s="240">
        <v>4389591</v>
      </c>
    </row>
    <row r="21" spans="1:4">
      <c r="B21" s="237" t="s">
        <v>20</v>
      </c>
      <c r="D21" s="240">
        <v>4608855</v>
      </c>
    </row>
    <row r="22" spans="1:4">
      <c r="B22" s="237" t="s">
        <v>21</v>
      </c>
      <c r="D22" s="240">
        <v>5175367</v>
      </c>
    </row>
    <row r="23" spans="1:4" ht="13.5" thickBot="1">
      <c r="A23" s="237" t="s">
        <v>148</v>
      </c>
      <c r="D23" s="243">
        <f>ROUND(AVERAGE(D10:D22),0)</f>
        <v>3599982</v>
      </c>
    </row>
    <row r="24" spans="1:4" ht="13.5" thickTop="1"/>
  </sheetData>
  <printOptions horizontalCentered="1"/>
  <pageMargins left="0.17" right="0.17" top="1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/>
  </sheetViews>
  <sheetFormatPr defaultRowHeight="12.75"/>
  <cols>
    <col min="1" max="2" width="2.7109375" style="67" customWidth="1"/>
    <col min="3" max="3" width="31.28515625" style="67" customWidth="1"/>
    <col min="4" max="4" width="2.7109375" style="67" customWidth="1"/>
    <col min="5" max="5" width="12.28515625" style="67" bestFit="1" customWidth="1"/>
    <col min="6" max="6" width="2.7109375" style="67" customWidth="1"/>
    <col min="7" max="7" width="14.140625" style="67" bestFit="1" customWidth="1"/>
    <col min="8" max="8" width="2.7109375" style="67" customWidth="1"/>
    <col min="9" max="9" width="14.28515625" style="67" bestFit="1" customWidth="1"/>
    <col min="10" max="10" width="2.7109375" style="67" customWidth="1"/>
    <col min="11" max="11" width="13.42578125" style="67" bestFit="1" customWidth="1"/>
    <col min="12" max="12" width="2.7109375" style="67" customWidth="1"/>
    <col min="13" max="13" width="12.28515625" style="67" bestFit="1" customWidth="1"/>
    <col min="14" max="14" width="2.5703125" style="67" bestFit="1" customWidth="1"/>
    <col min="15" max="15" width="13.5703125" style="67" bestFit="1" customWidth="1"/>
    <col min="16" max="16" width="2.7109375" style="67" customWidth="1"/>
    <col min="17" max="16384" width="9.140625" style="67"/>
  </cols>
  <sheetData>
    <row r="1" spans="1:15">
      <c r="A1" s="4" t="s">
        <v>0</v>
      </c>
      <c r="B1" s="4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</row>
    <row r="2" spans="1:15">
      <c r="A2" s="4" t="s">
        <v>33</v>
      </c>
      <c r="B2" s="4"/>
      <c r="C2" s="69"/>
      <c r="D2" s="69"/>
      <c r="E2" s="69"/>
      <c r="F2" s="69"/>
      <c r="G2" s="70"/>
      <c r="H2" s="70"/>
      <c r="I2" s="70"/>
      <c r="J2" s="70"/>
      <c r="K2" s="70"/>
      <c r="L2" s="70"/>
      <c r="M2" s="70"/>
      <c r="N2" s="70"/>
      <c r="O2" s="70"/>
    </row>
    <row r="3" spans="1:15">
      <c r="A3" s="4" t="s">
        <v>115</v>
      </c>
      <c r="B3" s="4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</row>
    <row r="4" spans="1:15">
      <c r="A4" s="4" t="s">
        <v>112</v>
      </c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</row>
    <row r="5" spans="1:15">
      <c r="A5" s="4" t="s">
        <v>27</v>
      </c>
      <c r="B5" s="4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</row>
    <row r="6" spans="1:15">
      <c r="A6" s="4"/>
      <c r="B6" s="4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</row>
    <row r="7" spans="1:15">
      <c r="A7" s="24"/>
      <c r="B7" s="24"/>
      <c r="G7" s="68"/>
      <c r="H7" s="68"/>
      <c r="I7" s="68"/>
      <c r="J7" s="68"/>
      <c r="K7" s="68"/>
      <c r="L7" s="68"/>
      <c r="M7" s="68"/>
      <c r="N7" s="68"/>
      <c r="O7" s="68"/>
    </row>
    <row r="8" spans="1:15">
      <c r="A8" s="24"/>
      <c r="B8" s="24"/>
      <c r="E8" s="71" t="s">
        <v>35</v>
      </c>
      <c r="G8" s="72" t="s">
        <v>36</v>
      </c>
      <c r="H8" s="88"/>
      <c r="J8" s="88"/>
      <c r="L8" s="88"/>
      <c r="O8" s="71" t="s">
        <v>113</v>
      </c>
    </row>
    <row r="9" spans="1:15">
      <c r="A9" s="24" t="s">
        <v>38</v>
      </c>
      <c r="B9" s="24"/>
      <c r="E9" s="74" t="s">
        <v>39</v>
      </c>
      <c r="G9" s="75" t="s">
        <v>40</v>
      </c>
      <c r="H9" s="89"/>
      <c r="I9" s="74" t="s">
        <v>41</v>
      </c>
      <c r="J9" s="89"/>
      <c r="K9" s="74" t="s">
        <v>114</v>
      </c>
      <c r="L9" s="89"/>
      <c r="M9" s="74" t="s">
        <v>69</v>
      </c>
      <c r="O9" s="74" t="s">
        <v>1</v>
      </c>
    </row>
    <row r="10" spans="1:15">
      <c r="A10" s="24"/>
      <c r="B10" s="24" t="s">
        <v>115</v>
      </c>
      <c r="G10" s="90"/>
      <c r="H10" s="90"/>
      <c r="I10" s="90"/>
      <c r="J10" s="90"/>
      <c r="K10" s="90"/>
      <c r="L10" s="90"/>
      <c r="M10" s="90"/>
      <c r="N10" s="68"/>
    </row>
    <row r="11" spans="1:15">
      <c r="A11" s="24"/>
      <c r="B11" s="24"/>
      <c r="G11" s="90"/>
      <c r="H11" s="90"/>
      <c r="I11" s="90"/>
      <c r="J11" s="90"/>
      <c r="K11" s="90"/>
      <c r="L11" s="90"/>
      <c r="M11" s="90"/>
      <c r="N11" s="68"/>
    </row>
    <row r="12" spans="1:15">
      <c r="A12" s="24"/>
      <c r="B12" s="24"/>
      <c r="C12" s="67" t="s">
        <v>116</v>
      </c>
      <c r="E12" s="67" t="s">
        <v>117</v>
      </c>
      <c r="G12" s="91">
        <v>0</v>
      </c>
      <c r="H12" s="91"/>
      <c r="I12" s="91">
        <v>0</v>
      </c>
      <c r="J12" s="91"/>
      <c r="K12" s="76">
        <f>G12-I12</f>
        <v>0</v>
      </c>
      <c r="L12" s="91"/>
      <c r="M12" s="91">
        <v>0</v>
      </c>
      <c r="N12" s="76"/>
      <c r="O12" s="76">
        <f>K12-M12</f>
        <v>0</v>
      </c>
    </row>
    <row r="13" spans="1:15">
      <c r="A13" s="24"/>
      <c r="B13" s="24"/>
      <c r="G13" s="91"/>
      <c r="H13" s="91"/>
      <c r="I13" s="91"/>
      <c r="J13" s="91"/>
      <c r="K13" s="76"/>
      <c r="L13" s="91"/>
      <c r="M13" s="91"/>
      <c r="N13" s="76"/>
      <c r="O13" s="76"/>
    </row>
    <row r="14" spans="1:15">
      <c r="C14" s="67" t="s">
        <v>118</v>
      </c>
    </row>
    <row r="15" spans="1:15">
      <c r="C15" s="67" t="s">
        <v>119</v>
      </c>
      <c r="E15" s="67" t="s">
        <v>120</v>
      </c>
      <c r="G15" s="68">
        <v>-193577704</v>
      </c>
      <c r="H15" s="68"/>
      <c r="I15" s="68">
        <v>-7234506</v>
      </c>
      <c r="J15" s="68"/>
      <c r="K15" s="68">
        <f>G15+I15</f>
        <v>-200812210</v>
      </c>
      <c r="L15" s="68"/>
      <c r="M15" s="68">
        <v>-21821123</v>
      </c>
      <c r="N15" s="68"/>
      <c r="O15" s="68">
        <f>K15-M15</f>
        <v>-178991087</v>
      </c>
    </row>
    <row r="16" spans="1:15">
      <c r="C16" s="67" t="s">
        <v>121</v>
      </c>
      <c r="G16" s="79"/>
      <c r="H16" s="79"/>
      <c r="I16" s="79"/>
      <c r="J16" s="68"/>
      <c r="K16" s="68">
        <v>3914810</v>
      </c>
      <c r="L16" s="68"/>
      <c r="M16" s="68">
        <v>253121</v>
      </c>
      <c r="N16" s="68"/>
      <c r="O16" s="68">
        <f>K16-M16</f>
        <v>3661689</v>
      </c>
    </row>
    <row r="17" spans="1:15">
      <c r="G17" s="79"/>
      <c r="H17" s="79"/>
      <c r="I17" s="79"/>
      <c r="J17" s="68"/>
      <c r="K17" s="77">
        <f>SUM(K15:K16)</f>
        <v>-196897400</v>
      </c>
      <c r="L17" s="68"/>
      <c r="M17" s="77">
        <f>SUM(M15:M16)</f>
        <v>-21568002</v>
      </c>
      <c r="N17" s="68"/>
      <c r="O17" s="77">
        <f>SUM(O15:O16)</f>
        <v>-175329398</v>
      </c>
    </row>
    <row r="18" spans="1:15">
      <c r="G18" s="68"/>
      <c r="H18" s="68"/>
      <c r="I18" s="68"/>
      <c r="J18" s="68"/>
      <c r="K18" s="68"/>
      <c r="L18" s="68"/>
      <c r="M18" s="68"/>
      <c r="N18" s="68"/>
      <c r="O18" s="68"/>
    </row>
    <row r="19" spans="1:15">
      <c r="C19" s="67" t="s">
        <v>122</v>
      </c>
    </row>
    <row r="20" spans="1:15">
      <c r="C20" s="67" t="s">
        <v>123</v>
      </c>
      <c r="E20" s="67" t="s">
        <v>124</v>
      </c>
      <c r="G20" s="68">
        <v>-20270302</v>
      </c>
      <c r="H20" s="68"/>
      <c r="I20" s="68">
        <v>-4434135</v>
      </c>
      <c r="J20" s="68"/>
      <c r="K20" s="68">
        <f>G20+I20</f>
        <v>-24704437</v>
      </c>
      <c r="L20" s="68"/>
      <c r="M20" s="68">
        <v>-1709429</v>
      </c>
      <c r="N20" s="68"/>
      <c r="O20" s="68">
        <f>K20-M20</f>
        <v>-22995008</v>
      </c>
    </row>
    <row r="21" spans="1:15">
      <c r="C21" s="67" t="s">
        <v>125</v>
      </c>
      <c r="G21" s="79"/>
      <c r="H21" s="79"/>
      <c r="I21" s="79"/>
      <c r="J21" s="68"/>
      <c r="K21" s="68">
        <v>24244</v>
      </c>
      <c r="L21" s="68"/>
      <c r="M21" s="68">
        <v>0</v>
      </c>
      <c r="N21" s="68"/>
      <c r="O21" s="68">
        <f>K21-M21</f>
        <v>24244</v>
      </c>
    </row>
    <row r="22" spans="1:15">
      <c r="G22" s="79"/>
      <c r="H22" s="79"/>
      <c r="I22" s="79"/>
      <c r="J22" s="68"/>
      <c r="K22" s="77">
        <f>SUM(K20:K21)</f>
        <v>-24680193</v>
      </c>
      <c r="L22" s="68"/>
      <c r="M22" s="77">
        <f>SUM(M20:M21)</f>
        <v>-1709429</v>
      </c>
      <c r="N22" s="68"/>
      <c r="O22" s="77">
        <f>SUM(O20:O21)</f>
        <v>-22970764</v>
      </c>
    </row>
    <row r="23" spans="1:15">
      <c r="G23" s="68"/>
      <c r="H23" s="68"/>
      <c r="I23" s="68"/>
      <c r="J23" s="68"/>
      <c r="K23" s="68"/>
      <c r="L23" s="68"/>
      <c r="M23" s="68"/>
      <c r="N23" s="68"/>
      <c r="O23" s="68"/>
    </row>
    <row r="24" spans="1:15">
      <c r="C24" s="67" t="s">
        <v>126</v>
      </c>
      <c r="G24" s="68"/>
      <c r="H24" s="68"/>
      <c r="I24" s="68"/>
      <c r="J24" s="68"/>
      <c r="K24" s="68"/>
      <c r="L24" s="68"/>
      <c r="M24" s="68"/>
      <c r="N24" s="68"/>
      <c r="O24" s="68"/>
    </row>
    <row r="25" spans="1:15">
      <c r="C25" s="67" t="s">
        <v>127</v>
      </c>
      <c r="E25" s="67" t="s">
        <v>128</v>
      </c>
      <c r="G25" s="68">
        <v>18844760</v>
      </c>
      <c r="H25" s="68"/>
      <c r="I25" s="68">
        <v>867307</v>
      </c>
      <c r="J25" s="68"/>
      <c r="K25" s="68">
        <f>G25+I25</f>
        <v>19712067</v>
      </c>
      <c r="L25" s="68"/>
      <c r="M25" s="68">
        <v>1864386</v>
      </c>
      <c r="N25" s="68"/>
      <c r="O25" s="68">
        <f>K25-M25</f>
        <v>17847681</v>
      </c>
    </row>
    <row r="26" spans="1:15">
      <c r="C26" s="67" t="s">
        <v>129</v>
      </c>
      <c r="G26" s="68"/>
      <c r="H26" s="68"/>
      <c r="I26" s="68"/>
      <c r="J26" s="68"/>
      <c r="K26" s="68">
        <v>47814</v>
      </c>
      <c r="L26" s="68"/>
      <c r="M26" s="68">
        <v>90986</v>
      </c>
      <c r="N26" s="68"/>
      <c r="O26" s="68">
        <f>K26-M26</f>
        <v>-43172</v>
      </c>
    </row>
    <row r="27" spans="1:15">
      <c r="G27" s="79"/>
      <c r="H27" s="79"/>
      <c r="I27" s="79"/>
      <c r="J27" s="68"/>
      <c r="K27" s="77">
        <f>SUM(K25:K26)</f>
        <v>19759881</v>
      </c>
      <c r="L27" s="68"/>
      <c r="M27" s="77">
        <f>SUM(M25:M26)</f>
        <v>1955372</v>
      </c>
      <c r="N27" s="68"/>
      <c r="O27" s="77">
        <f>SUM(O25:O26)</f>
        <v>17804509</v>
      </c>
    </row>
    <row r="28" spans="1:15">
      <c r="G28" s="79"/>
      <c r="H28" s="79"/>
      <c r="I28" s="79"/>
      <c r="J28" s="68"/>
      <c r="K28" s="79"/>
      <c r="L28" s="68"/>
      <c r="M28" s="79"/>
      <c r="N28" s="68"/>
      <c r="O28" s="79"/>
    </row>
    <row r="29" spans="1:15">
      <c r="A29" s="24"/>
      <c r="B29" s="24"/>
      <c r="G29" s="90"/>
      <c r="H29" s="90"/>
      <c r="I29" s="90"/>
      <c r="J29" s="90"/>
      <c r="K29" s="90"/>
      <c r="L29" s="90"/>
      <c r="M29" s="90"/>
      <c r="N29" s="68"/>
      <c r="O29" s="68"/>
    </row>
    <row r="31" spans="1:15">
      <c r="G31" s="68"/>
      <c r="H31" s="68"/>
      <c r="I31" s="68"/>
      <c r="J31" s="68"/>
      <c r="K31" s="68"/>
      <c r="L31" s="68"/>
      <c r="M31" s="68"/>
      <c r="N31" s="68"/>
      <c r="O31" s="68"/>
    </row>
    <row r="33" spans="1:18">
      <c r="A33" s="4" t="s">
        <v>0</v>
      </c>
      <c r="B33" s="4"/>
      <c r="C33" s="69"/>
      <c r="D33" s="69"/>
      <c r="E33" s="69"/>
      <c r="F33" s="69"/>
      <c r="G33" s="70"/>
      <c r="H33" s="70"/>
      <c r="I33" s="70"/>
      <c r="J33" s="70"/>
      <c r="K33" s="70"/>
      <c r="L33" s="70"/>
      <c r="M33" s="70"/>
      <c r="N33" s="70"/>
      <c r="O33" s="70"/>
    </row>
    <row r="34" spans="1:18">
      <c r="A34" s="4" t="s">
        <v>33</v>
      </c>
      <c r="B34" s="4"/>
      <c r="C34" s="69"/>
      <c r="D34" s="69"/>
      <c r="E34" s="69"/>
      <c r="F34" s="69"/>
      <c r="G34" s="70"/>
      <c r="H34" s="70"/>
      <c r="I34" s="70"/>
      <c r="J34" s="70"/>
      <c r="K34" s="70"/>
      <c r="L34" s="70"/>
      <c r="M34" s="70"/>
      <c r="N34" s="70"/>
      <c r="O34" s="70"/>
    </row>
    <row r="35" spans="1:18">
      <c r="A35" s="4" t="s">
        <v>115</v>
      </c>
      <c r="B35" s="4"/>
      <c r="C35" s="69"/>
      <c r="D35" s="69"/>
      <c r="E35" s="69"/>
      <c r="F35" s="69"/>
      <c r="G35" s="70"/>
      <c r="H35" s="70"/>
      <c r="I35" s="70"/>
      <c r="J35" s="70"/>
      <c r="K35" s="70"/>
      <c r="L35" s="70"/>
      <c r="M35" s="70"/>
      <c r="N35" s="70"/>
      <c r="O35" s="70"/>
    </row>
    <row r="36" spans="1:18">
      <c r="A36" s="4" t="s">
        <v>112</v>
      </c>
      <c r="B36" s="69"/>
      <c r="C36" s="69"/>
      <c r="D36" s="69"/>
      <c r="E36" s="69"/>
      <c r="F36" s="69"/>
      <c r="G36" s="70"/>
      <c r="H36" s="70"/>
      <c r="I36" s="70"/>
      <c r="J36" s="70"/>
      <c r="K36" s="70"/>
      <c r="L36" s="70"/>
      <c r="M36" s="70"/>
      <c r="N36" s="70"/>
      <c r="O36" s="70"/>
    </row>
    <row r="37" spans="1:18">
      <c r="A37" s="4" t="s">
        <v>108</v>
      </c>
      <c r="B37" s="4"/>
      <c r="C37" s="69"/>
      <c r="D37" s="69"/>
      <c r="E37" s="69"/>
      <c r="F37" s="69"/>
      <c r="G37" s="70"/>
      <c r="H37" s="70"/>
      <c r="I37" s="70"/>
      <c r="J37" s="70"/>
      <c r="K37" s="70"/>
      <c r="L37" s="70"/>
      <c r="M37" s="70"/>
      <c r="N37" s="70"/>
      <c r="O37" s="70"/>
    </row>
    <row r="38" spans="1:18">
      <c r="A38" s="4"/>
      <c r="B38" s="4"/>
      <c r="C38" s="69"/>
      <c r="D38" s="69"/>
      <c r="E38" s="69"/>
      <c r="F38" s="69"/>
      <c r="G38" s="70"/>
      <c r="H38" s="70"/>
      <c r="I38" s="70"/>
      <c r="J38" s="70"/>
      <c r="K38" s="70"/>
      <c r="L38" s="70"/>
      <c r="M38" s="70"/>
      <c r="N38" s="70"/>
      <c r="O38" s="70"/>
    </row>
    <row r="39" spans="1:18">
      <c r="A39" s="24"/>
      <c r="B39" s="24"/>
      <c r="G39" s="68"/>
      <c r="H39" s="68"/>
      <c r="I39" s="68"/>
      <c r="J39" s="68"/>
      <c r="K39" s="68"/>
      <c r="L39" s="68"/>
      <c r="M39" s="68"/>
      <c r="N39" s="68"/>
      <c r="O39" s="68"/>
    </row>
    <row r="40" spans="1:18">
      <c r="A40" s="24"/>
      <c r="B40" s="24"/>
      <c r="E40" s="71" t="s">
        <v>35</v>
      </c>
      <c r="G40" s="72" t="s">
        <v>36</v>
      </c>
      <c r="H40" s="88"/>
      <c r="J40" s="88"/>
      <c r="L40" s="88"/>
      <c r="O40" s="71" t="s">
        <v>113</v>
      </c>
    </row>
    <row r="41" spans="1:18">
      <c r="A41" s="24" t="s">
        <v>38</v>
      </c>
      <c r="B41" s="24"/>
      <c r="E41" s="74" t="s">
        <v>39</v>
      </c>
      <c r="G41" s="75" t="s">
        <v>40</v>
      </c>
      <c r="H41" s="89"/>
      <c r="I41" s="74" t="s">
        <v>41</v>
      </c>
      <c r="J41" s="89"/>
      <c r="K41" s="74" t="s">
        <v>114</v>
      </c>
      <c r="L41" s="89"/>
      <c r="M41" s="74" t="s">
        <v>69</v>
      </c>
      <c r="O41" s="74" t="s">
        <v>1</v>
      </c>
    </row>
    <row r="42" spans="1:18">
      <c r="A42" s="24"/>
      <c r="B42" s="24" t="s">
        <v>115</v>
      </c>
      <c r="G42" s="90"/>
      <c r="H42" s="90"/>
      <c r="I42" s="90"/>
      <c r="J42" s="90"/>
      <c r="K42" s="90"/>
      <c r="L42" s="90"/>
      <c r="M42" s="90"/>
      <c r="N42" s="68"/>
    </row>
    <row r="43" spans="1:18">
      <c r="A43" s="24"/>
      <c r="B43" s="24"/>
      <c r="G43" s="90"/>
      <c r="H43" s="90"/>
      <c r="I43" s="90"/>
      <c r="J43" s="90"/>
      <c r="K43" s="90"/>
      <c r="L43" s="90"/>
      <c r="M43" s="90"/>
      <c r="N43" s="68"/>
    </row>
    <row r="44" spans="1:18">
      <c r="A44" s="24"/>
      <c r="B44" s="24"/>
      <c r="C44" s="67" t="s">
        <v>116</v>
      </c>
      <c r="E44" s="67" t="s">
        <v>117</v>
      </c>
      <c r="G44" s="91">
        <v>0</v>
      </c>
      <c r="H44" s="91"/>
      <c r="I44" s="91">
        <v>0</v>
      </c>
      <c r="J44" s="91"/>
      <c r="K44" s="76">
        <f>G44-I44</f>
        <v>0</v>
      </c>
      <c r="L44" s="91"/>
      <c r="M44" s="91">
        <v>0</v>
      </c>
      <c r="N44" s="76"/>
      <c r="O44" s="76">
        <f>K44-M44</f>
        <v>0</v>
      </c>
    </row>
    <row r="45" spans="1:18">
      <c r="A45" s="24"/>
      <c r="B45" s="24"/>
      <c r="G45" s="91"/>
      <c r="H45" s="91"/>
      <c r="I45" s="91"/>
      <c r="J45" s="91"/>
      <c r="K45" s="76"/>
      <c r="L45" s="91"/>
      <c r="M45" s="91"/>
      <c r="N45" s="76"/>
      <c r="O45" s="76"/>
    </row>
    <row r="46" spans="1:18">
      <c r="C46" s="67" t="s">
        <v>118</v>
      </c>
    </row>
    <row r="47" spans="1:18">
      <c r="C47" s="67" t="s">
        <v>119</v>
      </c>
      <c r="E47" s="67" t="s">
        <v>120</v>
      </c>
      <c r="G47" s="68">
        <v>-165429237</v>
      </c>
      <c r="H47" s="68"/>
      <c r="I47" s="68">
        <v>-6096023</v>
      </c>
      <c r="J47" s="68"/>
      <c r="K47" s="68">
        <f>G47+I47</f>
        <v>-171525260</v>
      </c>
      <c r="L47" s="68"/>
      <c r="M47" s="68">
        <v>-21000121</v>
      </c>
      <c r="N47" s="68"/>
      <c r="O47" s="68">
        <f>K47-M47</f>
        <v>-150525139</v>
      </c>
      <c r="R47" s="68"/>
    </row>
    <row r="48" spans="1:18">
      <c r="C48" s="67" t="s">
        <v>121</v>
      </c>
      <c r="G48" s="79"/>
      <c r="H48" s="79"/>
      <c r="I48" s="79"/>
      <c r="J48" s="68"/>
      <c r="K48" s="68">
        <v>4502432</v>
      </c>
      <c r="L48" s="68"/>
      <c r="M48" s="68">
        <v>262726</v>
      </c>
      <c r="N48" s="68"/>
      <c r="O48" s="68">
        <f>K48-M48</f>
        <v>4239706</v>
      </c>
    </row>
    <row r="49" spans="1:15">
      <c r="G49" s="79"/>
      <c r="H49" s="79"/>
      <c r="I49" s="79"/>
      <c r="J49" s="68"/>
      <c r="K49" s="77">
        <f>SUM(K47:K48)</f>
        <v>-167022828</v>
      </c>
      <c r="L49" s="68"/>
      <c r="M49" s="77">
        <f>SUM(M47:M48)</f>
        <v>-20737395</v>
      </c>
      <c r="N49" s="68"/>
      <c r="O49" s="77">
        <f>SUM(O47:O48)</f>
        <v>-146285433</v>
      </c>
    </row>
    <row r="50" spans="1:15">
      <c r="G50" s="68"/>
      <c r="H50" s="68"/>
      <c r="I50" s="68"/>
      <c r="J50" s="68"/>
      <c r="K50" s="68"/>
      <c r="L50" s="68"/>
      <c r="M50" s="68"/>
      <c r="N50" s="68"/>
      <c r="O50" s="68"/>
    </row>
    <row r="51" spans="1:15">
      <c r="C51" s="67" t="s">
        <v>122</v>
      </c>
    </row>
    <row r="52" spans="1:15">
      <c r="C52" s="67" t="s">
        <v>123</v>
      </c>
      <c r="E52" s="67" t="s">
        <v>124</v>
      </c>
      <c r="G52" s="68">
        <v>-14238798</v>
      </c>
      <c r="H52" s="68"/>
      <c r="I52" s="68">
        <v>-3736342</v>
      </c>
      <c r="J52" s="68"/>
      <c r="K52" s="68">
        <f>G52+I52</f>
        <v>-17975140</v>
      </c>
      <c r="L52" s="68"/>
      <c r="M52" s="68">
        <v>-1500902</v>
      </c>
      <c r="N52" s="68"/>
      <c r="O52" s="68">
        <f>K52-M52</f>
        <v>-16474238</v>
      </c>
    </row>
    <row r="53" spans="1:15">
      <c r="C53" s="67" t="s">
        <v>125</v>
      </c>
      <c r="G53" s="79"/>
      <c r="H53" s="79"/>
      <c r="I53" s="79"/>
      <c r="J53" s="68"/>
      <c r="K53" s="68">
        <v>8092</v>
      </c>
      <c r="L53" s="68"/>
      <c r="M53" s="68">
        <v>-24841</v>
      </c>
      <c r="N53" s="68"/>
      <c r="O53" s="68">
        <f>K53-M53</f>
        <v>32933</v>
      </c>
    </row>
    <row r="54" spans="1:15">
      <c r="G54" s="79"/>
      <c r="H54" s="79"/>
      <c r="I54" s="79"/>
      <c r="J54" s="68"/>
      <c r="K54" s="77">
        <f>SUM(K52:K53)</f>
        <v>-17967048</v>
      </c>
      <c r="L54" s="68"/>
      <c r="M54" s="77">
        <f>SUM(M52:M53)</f>
        <v>-1525743</v>
      </c>
      <c r="N54" s="68"/>
      <c r="O54" s="77">
        <f>SUM(O52:O53)</f>
        <v>-16441305</v>
      </c>
    </row>
    <row r="55" spans="1:15">
      <c r="G55" s="68"/>
      <c r="H55" s="68"/>
      <c r="I55" s="68"/>
      <c r="J55" s="68"/>
      <c r="K55" s="68"/>
      <c r="L55" s="68"/>
      <c r="M55" s="68"/>
      <c r="N55" s="68"/>
      <c r="O55" s="68"/>
    </row>
    <row r="56" spans="1:15">
      <c r="C56" s="67" t="s">
        <v>126</v>
      </c>
      <c r="G56" s="68"/>
      <c r="H56" s="68"/>
      <c r="I56" s="68"/>
      <c r="J56" s="68"/>
      <c r="K56" s="68"/>
      <c r="L56" s="68"/>
      <c r="M56" s="68"/>
      <c r="N56" s="68"/>
      <c r="O56" s="68"/>
    </row>
    <row r="57" spans="1:15">
      <c r="C57" s="67" t="s">
        <v>127</v>
      </c>
      <c r="E57" s="67" t="s">
        <v>128</v>
      </c>
      <c r="G57" s="68">
        <v>13820331</v>
      </c>
      <c r="H57" s="68"/>
      <c r="I57" s="68">
        <v>272454</v>
      </c>
      <c r="J57" s="68"/>
      <c r="K57" s="68">
        <f>G57+I57</f>
        <v>14092785</v>
      </c>
      <c r="L57" s="68"/>
      <c r="M57" s="68">
        <v>1690092</v>
      </c>
      <c r="N57" s="68"/>
      <c r="O57" s="68">
        <f>K57-M57</f>
        <v>12402693</v>
      </c>
    </row>
    <row r="58" spans="1:15">
      <c r="C58" s="67" t="s">
        <v>129</v>
      </c>
      <c r="G58" s="68"/>
      <c r="H58" s="68"/>
      <c r="I58" s="68"/>
      <c r="J58" s="68"/>
      <c r="K58" s="68">
        <v>18706</v>
      </c>
      <c r="L58" s="68"/>
      <c r="M58" s="68">
        <v>89277</v>
      </c>
      <c r="N58" s="68"/>
      <c r="O58" s="68">
        <f>K58-M58</f>
        <v>-70571</v>
      </c>
    </row>
    <row r="59" spans="1:15">
      <c r="G59" s="79"/>
      <c r="H59" s="79"/>
      <c r="I59" s="79"/>
      <c r="J59" s="68"/>
      <c r="K59" s="77">
        <f>SUM(K57:K58)</f>
        <v>14111491</v>
      </c>
      <c r="L59" s="68"/>
      <c r="M59" s="77">
        <f>SUM(M57:M58)</f>
        <v>1779369</v>
      </c>
      <c r="N59" s="68"/>
      <c r="O59" s="77">
        <f>SUM(O57:O58)</f>
        <v>12332122</v>
      </c>
    </row>
    <row r="60" spans="1:15">
      <c r="G60" s="79"/>
      <c r="H60" s="79"/>
      <c r="I60" s="79"/>
      <c r="J60" s="68"/>
      <c r="K60" s="79"/>
      <c r="L60" s="68"/>
      <c r="M60" s="79"/>
      <c r="N60" s="68"/>
      <c r="O60" s="79"/>
    </row>
    <row r="61" spans="1:15">
      <c r="A61" s="67" t="s">
        <v>130</v>
      </c>
    </row>
  </sheetData>
  <printOptions horizontalCentered="1"/>
  <pageMargins left="0.22" right="0.17" top="1" bottom="0.28000000000000003" header="0.3" footer="0.3"/>
  <pageSetup orientation="landscape" r:id="rId1"/>
  <headerFooter>
    <oddFooter>&amp;C&amp;F - &amp;A
Page &amp;P of &amp;N</oddFooter>
  </headerFooter>
  <rowBreaks count="1" manualBreakCount="1">
    <brk id="32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defaultRowHeight="12.75"/>
  <cols>
    <col min="1" max="1" width="9.140625" style="67"/>
    <col min="2" max="2" width="2.7109375" style="67" customWidth="1"/>
    <col min="3" max="3" width="13.42578125" style="67" bestFit="1" customWidth="1"/>
    <col min="4" max="4" width="2.7109375" style="67" customWidth="1"/>
    <col min="5" max="5" width="13.42578125" style="67" bestFit="1" customWidth="1"/>
    <col min="6" max="6" width="2.7109375" style="67" customWidth="1"/>
    <col min="7" max="7" width="13.42578125" style="67" bestFit="1" customWidth="1"/>
    <col min="8" max="16384" width="9.140625" style="67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4" t="s">
        <v>64</v>
      </c>
      <c r="B2" s="4"/>
      <c r="C2" s="4"/>
      <c r="D2" s="4"/>
      <c r="E2" s="4"/>
      <c r="F2" s="4"/>
      <c r="G2" s="4"/>
    </row>
    <row r="3" spans="1:7">
      <c r="A3" s="4" t="s">
        <v>115</v>
      </c>
      <c r="B3" s="4"/>
      <c r="C3" s="4"/>
      <c r="D3" s="4"/>
      <c r="E3" s="4"/>
      <c r="F3" s="4"/>
      <c r="G3" s="4"/>
    </row>
    <row r="4" spans="1:7">
      <c r="A4" s="4" t="s">
        <v>217</v>
      </c>
      <c r="B4" s="4"/>
      <c r="C4" s="4"/>
      <c r="D4" s="4"/>
      <c r="E4" s="4"/>
      <c r="F4" s="4"/>
      <c r="G4" s="4"/>
    </row>
    <row r="5" spans="1:7">
      <c r="A5" s="4" t="s">
        <v>135</v>
      </c>
      <c r="B5" s="4"/>
      <c r="C5" s="4"/>
      <c r="D5" s="4"/>
      <c r="E5" s="4"/>
      <c r="F5" s="4"/>
      <c r="G5" s="4"/>
    </row>
    <row r="8" spans="1:7" ht="15" customHeight="1">
      <c r="C8" s="71" t="s">
        <v>29</v>
      </c>
      <c r="E8" s="71" t="s">
        <v>30</v>
      </c>
      <c r="G8" s="71" t="s">
        <v>131</v>
      </c>
    </row>
    <row r="9" spans="1:7" ht="12.75" customHeight="1">
      <c r="C9" s="74" t="s">
        <v>31</v>
      </c>
      <c r="E9" s="74" t="s">
        <v>31</v>
      </c>
      <c r="G9" s="74" t="s">
        <v>31</v>
      </c>
    </row>
    <row r="10" spans="1:7" ht="12.75" customHeight="1">
      <c r="A10" s="67" t="s">
        <v>132</v>
      </c>
      <c r="C10" s="76">
        <v>-146285433</v>
      </c>
      <c r="D10" s="76"/>
      <c r="E10" s="168">
        <v>-175329298</v>
      </c>
      <c r="F10" s="76"/>
      <c r="G10" s="76">
        <f>ROUND(AVERAGE(C10:E10),0)</f>
        <v>-160807366</v>
      </c>
    </row>
    <row r="11" spans="1:7" ht="12.75" customHeight="1">
      <c r="C11" s="68"/>
      <c r="D11" s="68"/>
      <c r="E11" s="78"/>
      <c r="F11" s="68"/>
      <c r="G11" s="68"/>
    </row>
    <row r="12" spans="1:7" ht="12.75" customHeight="1">
      <c r="A12" s="67" t="s">
        <v>133</v>
      </c>
      <c r="C12" s="68">
        <v>-16441305</v>
      </c>
      <c r="D12" s="68"/>
      <c r="E12" s="78">
        <v>-22970764</v>
      </c>
      <c r="F12" s="68"/>
      <c r="G12" s="68">
        <f>ROUND(AVERAGE(C12:E12),0)</f>
        <v>-19706035</v>
      </c>
    </row>
    <row r="13" spans="1:7">
      <c r="C13" s="68"/>
      <c r="D13" s="68"/>
      <c r="E13" s="78"/>
      <c r="F13" s="68"/>
      <c r="G13" s="68"/>
    </row>
    <row r="14" spans="1:7">
      <c r="A14" s="67" t="s">
        <v>134</v>
      </c>
      <c r="C14" s="68">
        <v>12332122</v>
      </c>
      <c r="D14" s="68"/>
      <c r="E14" s="78">
        <v>17804509</v>
      </c>
      <c r="F14" s="68"/>
      <c r="G14" s="68">
        <f>ROUND(AVERAGE(C14:E14),0)</f>
        <v>15068316</v>
      </c>
    </row>
    <row r="16" spans="1:7">
      <c r="A16" s="287" t="s">
        <v>397</v>
      </c>
      <c r="C16" s="68">
        <v>-767331</v>
      </c>
      <c r="D16" s="68"/>
      <c r="E16" s="78">
        <v>-2411735</v>
      </c>
      <c r="G16" s="68">
        <f>ROUND(AVERAGE(C16:E16),0)</f>
        <v>-1589533</v>
      </c>
    </row>
  </sheetData>
  <printOptions horizontalCentered="1"/>
  <pageMargins left="0.7" right="0.7" top="1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2.75"/>
  <cols>
    <col min="1" max="1" width="2.7109375" style="67" customWidth="1"/>
    <col min="2" max="2" width="32.28515625" style="67" customWidth="1"/>
    <col min="3" max="3" width="3.7109375" style="67" customWidth="1"/>
    <col min="4" max="4" width="14.42578125" style="67" bestFit="1" customWidth="1"/>
    <col min="5" max="5" width="2.7109375" style="67" customWidth="1"/>
    <col min="6" max="6" width="14.42578125" style="67" bestFit="1" customWidth="1"/>
    <col min="7" max="7" width="2.7109375" style="67" customWidth="1"/>
    <col min="8" max="8" width="14.42578125" style="67" bestFit="1" customWidth="1"/>
    <col min="9" max="9" width="2.7109375" style="67" customWidth="1"/>
    <col min="10" max="10" width="11.7109375" style="67" bestFit="1" customWidth="1"/>
    <col min="11" max="16384" width="9.140625" style="67"/>
  </cols>
  <sheetData>
    <row r="1" spans="1:10">
      <c r="A1" s="4" t="s">
        <v>0</v>
      </c>
      <c r="B1" s="4"/>
      <c r="C1" s="4"/>
      <c r="D1" s="69"/>
      <c r="E1" s="69"/>
      <c r="F1" s="69"/>
      <c r="G1" s="69"/>
      <c r="H1" s="69"/>
      <c r="I1" s="69"/>
      <c r="J1" s="69"/>
    </row>
    <row r="2" spans="1:10">
      <c r="A2" s="4" t="s">
        <v>64</v>
      </c>
      <c r="B2" s="4"/>
      <c r="C2" s="4"/>
      <c r="D2" s="69"/>
      <c r="E2" s="69"/>
      <c r="F2" s="69"/>
      <c r="G2" s="69"/>
      <c r="H2" s="69"/>
      <c r="I2" s="69"/>
      <c r="J2" s="69"/>
    </row>
    <row r="3" spans="1:10">
      <c r="A3" s="4" t="s">
        <v>157</v>
      </c>
      <c r="B3" s="4"/>
      <c r="C3" s="4"/>
      <c r="D3" s="69"/>
      <c r="E3" s="69"/>
      <c r="F3" s="69"/>
      <c r="G3" s="69"/>
      <c r="H3" s="69"/>
      <c r="I3" s="69"/>
      <c r="J3" s="69"/>
    </row>
    <row r="4" spans="1:10">
      <c r="A4" s="4" t="s">
        <v>136</v>
      </c>
      <c r="B4" s="4"/>
      <c r="C4" s="4"/>
      <c r="D4" s="69"/>
      <c r="E4" s="69"/>
      <c r="F4" s="69"/>
      <c r="G4" s="69"/>
      <c r="H4" s="69"/>
      <c r="I4" s="69"/>
      <c r="J4" s="69"/>
    </row>
    <row r="5" spans="1:10">
      <c r="A5" s="4" t="s">
        <v>143</v>
      </c>
      <c r="B5" s="4"/>
      <c r="C5" s="4"/>
      <c r="D5" s="69"/>
      <c r="E5" s="69"/>
      <c r="F5" s="69"/>
      <c r="G5" s="69"/>
      <c r="H5" s="69"/>
      <c r="I5" s="69"/>
      <c r="J5" s="69"/>
    </row>
    <row r="6" spans="1:10">
      <c r="A6" s="4"/>
      <c r="B6" s="4"/>
      <c r="C6" s="4"/>
      <c r="D6" s="69"/>
      <c r="E6" s="69"/>
      <c r="F6" s="69"/>
      <c r="G6" s="69"/>
      <c r="H6" s="69"/>
      <c r="I6" s="69"/>
      <c r="J6" s="69"/>
    </row>
    <row r="7" spans="1:10">
      <c r="A7" s="69"/>
      <c r="B7" s="69"/>
      <c r="C7" s="69"/>
      <c r="D7" s="69"/>
      <c r="E7" s="69"/>
      <c r="F7" s="69"/>
      <c r="G7" s="69"/>
      <c r="H7" s="69"/>
      <c r="I7" s="69"/>
      <c r="J7" s="69"/>
    </row>
    <row r="9" spans="1:10">
      <c r="A9" s="299" t="s">
        <v>414</v>
      </c>
      <c r="D9" s="92" t="s">
        <v>137</v>
      </c>
      <c r="E9" s="92"/>
      <c r="F9" s="92"/>
      <c r="H9" s="92" t="s">
        <v>144</v>
      </c>
      <c r="I9" s="92"/>
      <c r="J9" s="92"/>
    </row>
    <row r="10" spans="1:10">
      <c r="B10" s="67" t="s">
        <v>138</v>
      </c>
      <c r="D10" s="76">
        <v>19097488</v>
      </c>
      <c r="H10" s="76">
        <v>19800235</v>
      </c>
    </row>
    <row r="11" spans="1:10">
      <c r="B11" s="67" t="s">
        <v>139</v>
      </c>
      <c r="D11" s="68">
        <v>-328467</v>
      </c>
      <c r="H11" s="68">
        <v>-293008</v>
      </c>
    </row>
    <row r="12" spans="1:10">
      <c r="D12" s="77">
        <v>19425955</v>
      </c>
      <c r="H12" s="77">
        <f>H10-H11</f>
        <v>20093243</v>
      </c>
    </row>
    <row r="14" spans="1:10">
      <c r="B14" s="299" t="s">
        <v>413</v>
      </c>
      <c r="D14" s="68">
        <v>15099039</v>
      </c>
      <c r="F14" s="93">
        <v>0.77726110000000004</v>
      </c>
      <c r="H14" s="68">
        <v>16301856</v>
      </c>
      <c r="J14" s="94">
        <f>ROUND(H14/$H$18,7)</f>
        <v>0.81131030000000004</v>
      </c>
    </row>
    <row r="15" spans="1:10">
      <c r="B15" s="167" t="s">
        <v>218</v>
      </c>
      <c r="D15" s="68">
        <v>2580877</v>
      </c>
      <c r="F15" s="93">
        <v>0.13285710000000001</v>
      </c>
      <c r="H15" s="68">
        <v>2574279</v>
      </c>
      <c r="J15" s="94">
        <f>ROUND(H15/$H$18,7)</f>
        <v>0.1281167</v>
      </c>
    </row>
    <row r="16" spans="1:10">
      <c r="B16" s="167" t="s">
        <v>219</v>
      </c>
      <c r="D16" s="68">
        <v>486746</v>
      </c>
      <c r="F16" s="93">
        <v>2.5056499999999999E-2</v>
      </c>
      <c r="H16" s="68">
        <v>69585</v>
      </c>
      <c r="J16" s="94">
        <f>ROUND(H16/$H$18,7)</f>
        <v>3.4631000000000002E-3</v>
      </c>
    </row>
    <row r="17" spans="1:10">
      <c r="B17" s="167" t="s">
        <v>220</v>
      </c>
      <c r="D17" s="68">
        <v>1259293</v>
      </c>
      <c r="F17" s="93">
        <v>6.4825300000000002E-2</v>
      </c>
      <c r="H17" s="68">
        <v>1147523</v>
      </c>
      <c r="J17" s="94">
        <f>ROUND(H17/$H$18,7)</f>
        <v>5.7109899999999998E-2</v>
      </c>
    </row>
    <row r="18" spans="1:10">
      <c r="D18" s="77">
        <v>19425955</v>
      </c>
      <c r="F18" s="95">
        <v>1.0000000000000002</v>
      </c>
      <c r="H18" s="77">
        <f>SUM(H14:H17)</f>
        <v>20093243</v>
      </c>
      <c r="J18" s="95">
        <f>SUM(J14:J17)</f>
        <v>1</v>
      </c>
    </row>
    <row r="19" spans="1:10">
      <c r="D19" s="79"/>
      <c r="E19" s="80"/>
      <c r="F19" s="80"/>
      <c r="G19" s="80"/>
      <c r="H19" s="80"/>
      <c r="I19" s="80"/>
      <c r="J19" s="80"/>
    </row>
    <row r="20" spans="1:10">
      <c r="D20" s="79"/>
      <c r="E20" s="80"/>
      <c r="F20" s="80"/>
      <c r="G20" s="80"/>
      <c r="H20" s="80"/>
      <c r="I20" s="80"/>
      <c r="J20" s="80"/>
    </row>
    <row r="21" spans="1:10">
      <c r="A21" s="69"/>
      <c r="B21" s="69"/>
      <c r="D21" s="71" t="s">
        <v>2</v>
      </c>
      <c r="F21" s="71" t="s">
        <v>141</v>
      </c>
      <c r="G21" s="80"/>
      <c r="H21" s="71" t="s">
        <v>2</v>
      </c>
      <c r="J21" s="71" t="s">
        <v>141</v>
      </c>
    </row>
    <row r="22" spans="1:10">
      <c r="A22" s="162" t="s">
        <v>223</v>
      </c>
      <c r="B22" s="92"/>
      <c r="D22" s="74" t="s">
        <v>5</v>
      </c>
      <c r="F22" s="74" t="s">
        <v>7</v>
      </c>
      <c r="G22" s="80"/>
      <c r="H22" s="74" t="s">
        <v>5</v>
      </c>
      <c r="J22" s="74" t="s">
        <v>7</v>
      </c>
    </row>
    <row r="23" spans="1:10">
      <c r="A23" s="169" t="s">
        <v>221</v>
      </c>
      <c r="B23" s="96"/>
      <c r="D23" s="97">
        <v>14364728.17</v>
      </c>
      <c r="E23" s="97"/>
      <c r="F23" s="76">
        <v>109488</v>
      </c>
      <c r="G23" s="98"/>
      <c r="H23" s="97">
        <v>14300779.01</v>
      </c>
      <c r="I23" s="76"/>
      <c r="J23" s="76">
        <f>ROUND(H23*F16,0)</f>
        <v>358327</v>
      </c>
    </row>
    <row r="24" spans="1:10">
      <c r="A24" s="169" t="s">
        <v>222</v>
      </c>
      <c r="B24" s="96"/>
      <c r="D24" s="99">
        <v>14376746.449999999</v>
      </c>
      <c r="E24" s="99"/>
      <c r="F24" s="68">
        <v>360231</v>
      </c>
      <c r="G24" s="100"/>
      <c r="H24" s="99">
        <v>12027473.1</v>
      </c>
      <c r="I24" s="99"/>
      <c r="J24" s="68">
        <f t="shared" ref="J24:J35" si="0">ROUND(H24*$J$16,0)</f>
        <v>41652</v>
      </c>
    </row>
    <row r="25" spans="1:10">
      <c r="A25" s="67" t="s">
        <v>11</v>
      </c>
      <c r="D25" s="99">
        <v>14526987.640000001</v>
      </c>
      <c r="E25" s="99"/>
      <c r="F25" s="68">
        <v>363995</v>
      </c>
      <c r="G25" s="100"/>
      <c r="H25" s="99">
        <v>11995004.84</v>
      </c>
      <c r="I25" s="99"/>
      <c r="J25" s="68">
        <f t="shared" si="0"/>
        <v>41540</v>
      </c>
    </row>
    <row r="26" spans="1:10">
      <c r="A26" s="67" t="s">
        <v>12</v>
      </c>
      <c r="D26" s="99">
        <v>14212927.689999999</v>
      </c>
      <c r="E26" s="99"/>
      <c r="F26" s="68">
        <v>356126</v>
      </c>
      <c r="G26" s="100"/>
      <c r="H26" s="99">
        <v>12550807.270000001</v>
      </c>
      <c r="I26" s="99"/>
      <c r="J26" s="68">
        <f t="shared" si="0"/>
        <v>43465</v>
      </c>
    </row>
    <row r="27" spans="1:10">
      <c r="A27" s="67" t="s">
        <v>13</v>
      </c>
      <c r="D27" s="99">
        <v>14062263.33</v>
      </c>
      <c r="E27" s="99"/>
      <c r="F27" s="68">
        <v>352351</v>
      </c>
      <c r="G27" s="100"/>
      <c r="H27" s="99">
        <v>12669598.950000001</v>
      </c>
      <c r="I27" s="99"/>
      <c r="J27" s="68">
        <f t="shared" si="0"/>
        <v>43876</v>
      </c>
    </row>
    <row r="28" spans="1:10">
      <c r="A28" s="67" t="s">
        <v>14</v>
      </c>
      <c r="D28" s="99">
        <v>14165949.82</v>
      </c>
      <c r="E28" s="99"/>
      <c r="F28" s="68">
        <v>354949</v>
      </c>
      <c r="G28" s="100"/>
      <c r="H28" s="99">
        <v>13382309.279999999</v>
      </c>
      <c r="I28" s="99"/>
      <c r="J28" s="68">
        <f t="shared" si="0"/>
        <v>46344</v>
      </c>
    </row>
    <row r="29" spans="1:10">
      <c r="A29" s="67" t="s">
        <v>15</v>
      </c>
      <c r="D29" s="99">
        <v>14561150.719999999</v>
      </c>
      <c r="E29" s="99"/>
      <c r="F29" s="68">
        <v>364851</v>
      </c>
      <c r="G29" s="100"/>
      <c r="H29" s="99">
        <v>14419570.419999998</v>
      </c>
      <c r="I29" s="99"/>
      <c r="J29" s="68">
        <f t="shared" si="0"/>
        <v>49936</v>
      </c>
    </row>
    <row r="30" spans="1:10">
      <c r="A30" s="67" t="s">
        <v>16</v>
      </c>
      <c r="D30" s="99">
        <v>14804753.76</v>
      </c>
      <c r="E30" s="99"/>
      <c r="F30" s="68">
        <v>370955</v>
      </c>
      <c r="G30" s="100"/>
      <c r="H30" s="99">
        <v>14959014.23</v>
      </c>
      <c r="I30" s="99"/>
      <c r="J30" s="68">
        <f t="shared" si="0"/>
        <v>51805</v>
      </c>
    </row>
    <row r="31" spans="1:10">
      <c r="A31" s="67" t="s">
        <v>17</v>
      </c>
      <c r="D31" s="99">
        <v>15523577.92</v>
      </c>
      <c r="E31" s="99"/>
      <c r="F31" s="68">
        <v>388967</v>
      </c>
      <c r="G31" s="100"/>
      <c r="H31" s="99">
        <v>14910567.33</v>
      </c>
      <c r="I31" s="99"/>
      <c r="J31" s="68">
        <f t="shared" si="0"/>
        <v>51637</v>
      </c>
    </row>
    <row r="32" spans="1:10">
      <c r="A32" s="67" t="s">
        <v>18</v>
      </c>
      <c r="D32" s="99">
        <v>15614625.35</v>
      </c>
      <c r="E32" s="99"/>
      <c r="F32" s="68">
        <v>391248</v>
      </c>
      <c r="G32" s="100"/>
      <c r="H32" s="99">
        <v>15351942.649999999</v>
      </c>
      <c r="I32" s="99"/>
      <c r="J32" s="68">
        <f t="shared" si="0"/>
        <v>53165</v>
      </c>
    </row>
    <row r="33" spans="1:10">
      <c r="A33" s="67" t="s">
        <v>19</v>
      </c>
      <c r="D33" s="99">
        <v>15913738.100000001</v>
      </c>
      <c r="E33" s="99"/>
      <c r="F33" s="68">
        <v>398743</v>
      </c>
      <c r="G33" s="100"/>
      <c r="H33" s="99">
        <v>14375762.640000001</v>
      </c>
      <c r="I33" s="99"/>
      <c r="J33" s="68">
        <f t="shared" si="0"/>
        <v>49785</v>
      </c>
    </row>
    <row r="34" spans="1:10">
      <c r="A34" s="67" t="s">
        <v>20</v>
      </c>
      <c r="D34" s="99">
        <v>15665106.380000001</v>
      </c>
      <c r="E34" s="99"/>
      <c r="F34" s="68">
        <v>392513</v>
      </c>
      <c r="G34" s="100"/>
      <c r="H34" s="99">
        <v>13842544.979999999</v>
      </c>
      <c r="I34" s="99"/>
      <c r="J34" s="68">
        <f t="shared" si="0"/>
        <v>47938</v>
      </c>
    </row>
    <row r="35" spans="1:10">
      <c r="A35" s="67" t="s">
        <v>21</v>
      </c>
      <c r="D35" s="99">
        <v>14300779.01</v>
      </c>
      <c r="E35" s="99"/>
      <c r="F35" s="68">
        <v>358327</v>
      </c>
      <c r="G35" s="100"/>
      <c r="H35" s="99">
        <v>14449654.149999999</v>
      </c>
      <c r="I35" s="99"/>
      <c r="J35" s="68">
        <f t="shared" si="0"/>
        <v>50041</v>
      </c>
    </row>
    <row r="36" spans="1:10">
      <c r="B36" s="67" t="s">
        <v>142</v>
      </c>
      <c r="D36" s="68"/>
      <c r="E36" s="68"/>
      <c r="F36" s="68"/>
      <c r="G36" s="100"/>
      <c r="H36" s="100"/>
      <c r="I36" s="100"/>
      <c r="J36" s="84">
        <f>ROUND(AVERAGE(J23:J35),0)</f>
        <v>71501</v>
      </c>
    </row>
  </sheetData>
  <printOptions horizontalCentered="1"/>
  <pageMargins left="0.17" right="0.19" top="1" bottom="0.6" header="0.3" footer="0.3"/>
  <pageSetup orientation="portrait" r:id="rId1"/>
  <headerFooter>
    <oddFooter>&amp;C&amp;F -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E7" sqref="E7"/>
    </sheetView>
  </sheetViews>
  <sheetFormatPr defaultRowHeight="12.75"/>
  <cols>
    <col min="1" max="2" width="2.7109375" style="302" customWidth="1"/>
    <col min="3" max="3" width="55.7109375" style="302" customWidth="1"/>
    <col min="4" max="4" width="9.140625" style="302"/>
    <col min="5" max="5" width="12.28515625" style="303" bestFit="1" customWidth="1"/>
    <col min="6" max="16384" width="9.140625" style="302"/>
  </cols>
  <sheetData>
    <row r="1" spans="1:5">
      <c r="A1" s="4" t="s">
        <v>0</v>
      </c>
      <c r="B1" s="300"/>
      <c r="C1" s="300"/>
      <c r="D1" s="300"/>
      <c r="E1" s="301"/>
    </row>
    <row r="2" spans="1:5">
      <c r="A2" s="4" t="s">
        <v>415</v>
      </c>
      <c r="B2" s="300"/>
      <c r="C2" s="300"/>
      <c r="D2" s="300"/>
      <c r="E2" s="301"/>
    </row>
    <row r="3" spans="1:5">
      <c r="A3" s="4" t="s">
        <v>27</v>
      </c>
      <c r="B3" s="300"/>
      <c r="C3" s="300"/>
      <c r="D3" s="300"/>
      <c r="E3" s="301"/>
    </row>
    <row r="6" spans="1:5">
      <c r="A6" s="302" t="s">
        <v>416</v>
      </c>
    </row>
    <row r="7" spans="1:5">
      <c r="B7" s="302" t="s">
        <v>417</v>
      </c>
      <c r="E7" s="304">
        <v>20362770.785332046</v>
      </c>
    </row>
    <row r="8" spans="1:5">
      <c r="B8" s="302" t="s">
        <v>418</v>
      </c>
      <c r="E8" s="303">
        <v>24419516</v>
      </c>
    </row>
    <row r="9" spans="1:5">
      <c r="B9" s="302" t="s">
        <v>419</v>
      </c>
      <c r="E9" s="305">
        <f>E7-E8</f>
        <v>-4056745.2146679536</v>
      </c>
    </row>
    <row r="11" spans="1:5">
      <c r="A11" s="302" t="s">
        <v>420</v>
      </c>
    </row>
    <row r="12" spans="1:5">
      <c r="B12" s="302" t="s">
        <v>421</v>
      </c>
      <c r="E12" s="303">
        <v>505945</v>
      </c>
    </row>
    <row r="13" spans="1:5">
      <c r="B13" s="302" t="s">
        <v>422</v>
      </c>
      <c r="E13" s="303">
        <v>514133</v>
      </c>
    </row>
    <row r="14" spans="1:5">
      <c r="C14" s="302" t="s">
        <v>423</v>
      </c>
      <c r="E14" s="305">
        <f>E13-E12</f>
        <v>8188</v>
      </c>
    </row>
    <row r="15" spans="1:5">
      <c r="B15" s="302" t="s">
        <v>424</v>
      </c>
      <c r="E15" s="306">
        <v>47.496000000000002</v>
      </c>
    </row>
    <row r="16" spans="1:5">
      <c r="C16" s="302" t="s">
        <v>425</v>
      </c>
      <c r="E16" s="305">
        <f>ROUND(E14*E15,0)</f>
        <v>388897</v>
      </c>
    </row>
    <row r="18" spans="1:5">
      <c r="A18" s="302" t="s">
        <v>10</v>
      </c>
    </row>
    <row r="19" spans="1:5">
      <c r="B19" s="302" t="s">
        <v>426</v>
      </c>
      <c r="E19" s="303">
        <f>E9</f>
        <v>-4056745.2146679536</v>
      </c>
    </row>
    <row r="20" spans="1:5">
      <c r="B20" s="302" t="s">
        <v>427</v>
      </c>
      <c r="E20" s="303">
        <f>E16</f>
        <v>388897</v>
      </c>
    </row>
    <row r="21" spans="1:5">
      <c r="C21" s="522" t="s">
        <v>791</v>
      </c>
      <c r="E21" s="305">
        <f>SUM(E19:E20)</f>
        <v>-3667848.2146679536</v>
      </c>
    </row>
    <row r="23" spans="1:5">
      <c r="A23" s="302" t="s">
        <v>428</v>
      </c>
    </row>
    <row r="24" spans="1:5">
      <c r="B24" s="302" t="s">
        <v>429</v>
      </c>
      <c r="E24" s="307">
        <v>2.7000000000000001E-3</v>
      </c>
    </row>
    <row r="25" spans="1:5">
      <c r="B25" s="302" t="s">
        <v>430</v>
      </c>
      <c r="E25" s="303">
        <f>ROUND(E21*E24*24,0)</f>
        <v>-237677</v>
      </c>
    </row>
    <row r="27" spans="1:5" ht="13.5" thickBot="1">
      <c r="A27" s="302" t="s">
        <v>431</v>
      </c>
      <c r="E27" s="308">
        <f>ROUND(E21+E25,0)</f>
        <v>-3905525</v>
      </c>
    </row>
    <row r="28" spans="1:5" ht="13.5" thickTop="1"/>
    <row r="30" spans="1:5">
      <c r="A30" s="302" t="s">
        <v>432</v>
      </c>
    </row>
    <row r="31" spans="1:5">
      <c r="A31" s="302" t="s">
        <v>433</v>
      </c>
    </row>
  </sheetData>
  <printOptions horizontalCentered="1"/>
  <pageMargins left="0.17" right="0.2" top="1" bottom="0.75" header="0.3" footer="0.3"/>
  <pageSetup orientation="portrait" r:id="rId1"/>
  <headerFooter>
    <oddFooter>&amp;C&amp;F - &amp;A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/>
  </sheetViews>
  <sheetFormatPr defaultRowHeight="12.75"/>
  <cols>
    <col min="1" max="1" width="26.7109375" style="103" customWidth="1"/>
    <col min="2" max="2" width="7.85546875" style="103" bestFit="1" customWidth="1"/>
    <col min="3" max="3" width="2.7109375" style="103" customWidth="1"/>
    <col min="4" max="4" width="9.7109375" style="103" bestFit="1" customWidth="1"/>
    <col min="5" max="5" width="2.7109375" style="103" customWidth="1"/>
    <col min="6" max="6" width="10.7109375" style="103" bestFit="1" customWidth="1"/>
    <col min="7" max="13" width="10.7109375" style="103" customWidth="1"/>
    <col min="14" max="16" width="10.7109375" style="103" bestFit="1" customWidth="1"/>
    <col min="17" max="17" width="10.42578125" style="103" customWidth="1"/>
    <col min="18" max="18" width="9.7109375" style="103" bestFit="1" customWidth="1"/>
    <col min="19" max="16384" width="9.140625" style="103"/>
  </cols>
  <sheetData>
    <row r="1" spans="1:19">
      <c r="A1" s="10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145</v>
      </c>
      <c r="O1" s="4"/>
      <c r="P1" s="4"/>
      <c r="Q1" s="4"/>
      <c r="R1" s="4"/>
    </row>
    <row r="2" spans="1:19">
      <c r="A2" s="10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145</v>
      </c>
      <c r="O2" s="4"/>
      <c r="P2" s="4"/>
      <c r="Q2" s="4"/>
      <c r="R2" s="4"/>
    </row>
    <row r="3" spans="1:19">
      <c r="A3" s="104" t="s">
        <v>157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145</v>
      </c>
      <c r="O3" s="4"/>
      <c r="P3" s="4"/>
      <c r="Q3" s="4"/>
      <c r="R3" s="4"/>
    </row>
    <row r="4" spans="1:19">
      <c r="A4" s="104" t="s">
        <v>146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145</v>
      </c>
      <c r="O4" s="4"/>
      <c r="P4" s="4"/>
      <c r="Q4" s="4"/>
      <c r="R4" s="4"/>
    </row>
    <row r="5" spans="1:19">
      <c r="A5" s="104" t="str">
        <f>'Materials &amp; Supplies'!A5</f>
        <v>December 2013 through December 2014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145</v>
      </c>
      <c r="O5" s="4"/>
      <c r="P5" s="4"/>
      <c r="Q5" s="4"/>
      <c r="R5" s="4"/>
    </row>
    <row r="6" spans="1:19">
      <c r="A6" s="102"/>
      <c r="N6" s="103" t="s">
        <v>145</v>
      </c>
    </row>
    <row r="8" spans="1:19" ht="25.5">
      <c r="B8" s="101" t="s">
        <v>147</v>
      </c>
      <c r="D8" s="105" t="s">
        <v>148</v>
      </c>
      <c r="E8" s="106"/>
      <c r="F8" s="107" t="s">
        <v>28</v>
      </c>
      <c r="G8" s="107" t="s">
        <v>32</v>
      </c>
      <c r="H8" s="107" t="s">
        <v>158</v>
      </c>
      <c r="I8" s="107" t="s">
        <v>159</v>
      </c>
      <c r="J8" s="107" t="s">
        <v>160</v>
      </c>
      <c r="K8" s="107" t="s">
        <v>161</v>
      </c>
      <c r="L8" s="107" t="s">
        <v>162</v>
      </c>
      <c r="M8" s="107" t="s">
        <v>163</v>
      </c>
      <c r="N8" s="107" t="s">
        <v>164</v>
      </c>
      <c r="O8" s="107" t="s">
        <v>165</v>
      </c>
      <c r="P8" s="107" t="s">
        <v>166</v>
      </c>
      <c r="Q8" s="107" t="s">
        <v>167</v>
      </c>
      <c r="R8" s="107" t="s">
        <v>168</v>
      </c>
    </row>
    <row r="9" spans="1:19">
      <c r="A9" s="103" t="s">
        <v>149</v>
      </c>
      <c r="B9" s="103">
        <v>1655</v>
      </c>
      <c r="D9" s="108"/>
      <c r="E9" s="108"/>
      <c r="F9" s="109">
        <v>262385</v>
      </c>
      <c r="G9" s="109">
        <v>2438737</v>
      </c>
      <c r="H9" s="109">
        <v>2198945</v>
      </c>
      <c r="I9" s="109">
        <v>1958885</v>
      </c>
      <c r="J9" s="109">
        <v>1954170</v>
      </c>
      <c r="K9" s="109">
        <v>1720264</v>
      </c>
      <c r="L9" s="109">
        <v>1485232</v>
      </c>
      <c r="M9" s="109">
        <v>1248993</v>
      </c>
      <c r="N9" s="109">
        <v>1013357</v>
      </c>
      <c r="O9" s="109">
        <v>777721</v>
      </c>
      <c r="P9" s="109">
        <v>542085</v>
      </c>
      <c r="Q9" s="109">
        <v>558780</v>
      </c>
      <c r="R9" s="109">
        <v>321134</v>
      </c>
    </row>
    <row r="10" spans="1:19">
      <c r="A10" s="103" t="s">
        <v>150</v>
      </c>
      <c r="B10" s="103">
        <v>1656</v>
      </c>
      <c r="D10" s="110"/>
      <c r="E10" s="110"/>
      <c r="F10" s="111">
        <v>995035</v>
      </c>
      <c r="G10" s="111">
        <v>824746</v>
      </c>
      <c r="H10" s="111">
        <v>233556</v>
      </c>
      <c r="I10" s="111">
        <v>408441</v>
      </c>
      <c r="J10" s="111">
        <v>294338</v>
      </c>
      <c r="K10" s="111">
        <v>123184</v>
      </c>
      <c r="L10" s="111">
        <v>59722</v>
      </c>
      <c r="M10" s="111"/>
      <c r="N10" s="111">
        <v>290736</v>
      </c>
      <c r="O10" s="111">
        <v>232889</v>
      </c>
      <c r="P10" s="111"/>
      <c r="Q10" s="111"/>
      <c r="R10" s="111">
        <v>487622</v>
      </c>
    </row>
    <row r="11" spans="1:19">
      <c r="A11" s="103" t="s">
        <v>151</v>
      </c>
      <c r="B11" s="103">
        <v>1658</v>
      </c>
      <c r="D11" s="110"/>
      <c r="E11" s="110"/>
      <c r="F11" s="111">
        <v>2783013</v>
      </c>
      <c r="G11" s="111"/>
      <c r="H11" s="111"/>
      <c r="I11" s="111"/>
      <c r="J11" s="111"/>
      <c r="K11" s="111"/>
      <c r="L11" s="111"/>
      <c r="M11" s="111">
        <v>2803898</v>
      </c>
      <c r="N11" s="111">
        <v>5791113</v>
      </c>
      <c r="O11" s="111">
        <v>8456515</v>
      </c>
      <c r="P11" s="111">
        <v>9002619</v>
      </c>
      <c r="Q11" s="111">
        <v>7101498</v>
      </c>
      <c r="R11" s="111">
        <v>3205301</v>
      </c>
    </row>
    <row r="12" spans="1:19">
      <c r="A12" s="103" t="s">
        <v>152</v>
      </c>
      <c r="B12" s="103">
        <v>1659</v>
      </c>
      <c r="D12" s="110"/>
      <c r="E12" s="111"/>
      <c r="F12" s="111">
        <v>1033798</v>
      </c>
      <c r="G12" s="111">
        <v>752026</v>
      </c>
      <c r="H12" s="111">
        <v>429598</v>
      </c>
      <c r="I12" s="111">
        <v>294005</v>
      </c>
      <c r="J12" s="111">
        <v>366887</v>
      </c>
      <c r="K12" s="111">
        <v>687087</v>
      </c>
      <c r="L12" s="111">
        <v>1025935</v>
      </c>
      <c r="M12" s="111">
        <v>1477234</v>
      </c>
      <c r="N12" s="111">
        <v>1929181</v>
      </c>
      <c r="O12" s="111">
        <v>2522869</v>
      </c>
      <c r="P12" s="111">
        <v>2941177</v>
      </c>
      <c r="Q12" s="111">
        <v>2503155</v>
      </c>
      <c r="R12" s="111">
        <v>2091934</v>
      </c>
    </row>
    <row r="13" spans="1:19">
      <c r="D13" s="110"/>
      <c r="E13" s="111"/>
      <c r="F13" s="112">
        <f t="shared" ref="F13:R13" si="0">SUM(F9:F12)</f>
        <v>5074231</v>
      </c>
      <c r="G13" s="112">
        <f t="shared" si="0"/>
        <v>4015509</v>
      </c>
      <c r="H13" s="112">
        <f t="shared" si="0"/>
        <v>2862099</v>
      </c>
      <c r="I13" s="112">
        <f t="shared" si="0"/>
        <v>2661331</v>
      </c>
      <c r="J13" s="112">
        <f t="shared" si="0"/>
        <v>2615395</v>
      </c>
      <c r="K13" s="112">
        <f t="shared" si="0"/>
        <v>2530535</v>
      </c>
      <c r="L13" s="112">
        <f t="shared" si="0"/>
        <v>2570889</v>
      </c>
      <c r="M13" s="112">
        <f t="shared" si="0"/>
        <v>5530125</v>
      </c>
      <c r="N13" s="112">
        <f t="shared" si="0"/>
        <v>9024387</v>
      </c>
      <c r="O13" s="112">
        <f t="shared" si="0"/>
        <v>11989994</v>
      </c>
      <c r="P13" s="112">
        <f t="shared" si="0"/>
        <v>12485881</v>
      </c>
      <c r="Q13" s="112">
        <f t="shared" si="0"/>
        <v>10163433</v>
      </c>
      <c r="R13" s="112">
        <f t="shared" si="0"/>
        <v>6105991</v>
      </c>
      <c r="S13" s="113"/>
    </row>
    <row r="14" spans="1:19">
      <c r="D14" s="114"/>
    </row>
    <row r="15" spans="1:19">
      <c r="A15" s="103" t="s">
        <v>153</v>
      </c>
      <c r="D15" s="115"/>
    </row>
    <row r="16" spans="1:19">
      <c r="A16" s="116" t="str">
        <f>A11</f>
        <v>Gas Demand Charges</v>
      </c>
      <c r="B16" s="103">
        <f>B11</f>
        <v>1658</v>
      </c>
      <c r="D16" s="110"/>
      <c r="F16" s="113">
        <v>2783013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2803898</v>
      </c>
      <c r="N16" s="113">
        <v>5791113</v>
      </c>
      <c r="O16" s="113">
        <v>8456515</v>
      </c>
      <c r="P16" s="113">
        <v>9002619</v>
      </c>
      <c r="Q16" s="113">
        <v>7101498</v>
      </c>
      <c r="R16" s="113">
        <v>3205301</v>
      </c>
    </row>
    <row r="17" spans="1:18">
      <c r="A17" s="284" t="s">
        <v>387</v>
      </c>
      <c r="D17" s="115"/>
    </row>
    <row r="18" spans="1:18">
      <c r="A18" s="103" t="s">
        <v>154</v>
      </c>
      <c r="B18" s="103">
        <v>1659</v>
      </c>
      <c r="D18" s="110"/>
      <c r="F18" s="113">
        <v>665740</v>
      </c>
      <c r="G18" s="113">
        <v>336037</v>
      </c>
      <c r="H18" s="113">
        <v>18560</v>
      </c>
      <c r="I18" s="113">
        <v>43488</v>
      </c>
      <c r="J18" s="113">
        <v>122347</v>
      </c>
      <c r="K18" s="113">
        <v>448286</v>
      </c>
      <c r="L18" s="113">
        <v>858853</v>
      </c>
      <c r="M18" s="113">
        <v>1324279</v>
      </c>
      <c r="N18" s="113">
        <v>1774818</v>
      </c>
      <c r="O18" s="113">
        <v>2118971</v>
      </c>
      <c r="P18" s="113">
        <v>2527784</v>
      </c>
      <c r="Q18" s="113">
        <v>2084214</v>
      </c>
      <c r="R18" s="113">
        <v>1615292</v>
      </c>
    </row>
    <row r="19" spans="1:18">
      <c r="A19" s="116" t="s">
        <v>155</v>
      </c>
      <c r="D19" s="110"/>
      <c r="E19" s="115"/>
      <c r="F19" s="124">
        <v>19050</v>
      </c>
      <c r="G19" s="124">
        <v>129125</v>
      </c>
      <c r="H19" s="124">
        <v>118242</v>
      </c>
      <c r="I19" s="124">
        <v>98389</v>
      </c>
      <c r="J19" s="124">
        <v>86824</v>
      </c>
      <c r="K19" s="124">
        <v>76032</v>
      </c>
      <c r="L19" s="124">
        <v>65240</v>
      </c>
      <c r="M19" s="124">
        <v>54448</v>
      </c>
      <c r="N19" s="124">
        <v>43656</v>
      </c>
      <c r="O19" s="124">
        <v>32864</v>
      </c>
      <c r="P19" s="124">
        <v>22072</v>
      </c>
      <c r="Q19" s="124">
        <v>22708</v>
      </c>
      <c r="R19" s="124">
        <v>11823</v>
      </c>
    </row>
    <row r="20" spans="1:18">
      <c r="A20" s="116"/>
      <c r="D20" s="110"/>
      <c r="E20" s="115"/>
      <c r="F20" s="117">
        <f>SUM(F16:F19)</f>
        <v>3467803</v>
      </c>
      <c r="G20" s="117">
        <f t="shared" ref="G20:R20" si="1">SUM(G16:G19)</f>
        <v>465162</v>
      </c>
      <c r="H20" s="117">
        <f t="shared" si="1"/>
        <v>136802</v>
      </c>
      <c r="I20" s="117">
        <f t="shared" si="1"/>
        <v>141877</v>
      </c>
      <c r="J20" s="117">
        <f t="shared" si="1"/>
        <v>209171</v>
      </c>
      <c r="K20" s="117">
        <f t="shared" si="1"/>
        <v>524318</v>
      </c>
      <c r="L20" s="117">
        <f t="shared" si="1"/>
        <v>924093</v>
      </c>
      <c r="M20" s="117">
        <f t="shared" si="1"/>
        <v>4182625</v>
      </c>
      <c r="N20" s="117">
        <f t="shared" si="1"/>
        <v>7609587</v>
      </c>
      <c r="O20" s="117">
        <f t="shared" si="1"/>
        <v>10608350</v>
      </c>
      <c r="P20" s="117">
        <f t="shared" si="1"/>
        <v>11552475</v>
      </c>
      <c r="Q20" s="117">
        <f t="shared" si="1"/>
        <v>9208420</v>
      </c>
      <c r="R20" s="117">
        <f t="shared" si="1"/>
        <v>4832416</v>
      </c>
    </row>
    <row r="21" spans="1:18">
      <c r="E21" s="115"/>
    </row>
    <row r="22" spans="1:18" ht="13.5" thickBot="1">
      <c r="A22" s="103" t="s">
        <v>156</v>
      </c>
      <c r="D22" s="118">
        <f>ROUND(AVERAGE(F22:R22),0)</f>
        <v>1828208</v>
      </c>
      <c r="E22" s="115"/>
      <c r="F22" s="119">
        <f>F13-F20</f>
        <v>1606428</v>
      </c>
      <c r="G22" s="119">
        <f t="shared" ref="G22:R22" si="2">G13-G20</f>
        <v>3550347</v>
      </c>
      <c r="H22" s="119">
        <f t="shared" si="2"/>
        <v>2725297</v>
      </c>
      <c r="I22" s="119">
        <f t="shared" si="2"/>
        <v>2519454</v>
      </c>
      <c r="J22" s="119">
        <f t="shared" si="2"/>
        <v>2406224</v>
      </c>
      <c r="K22" s="119">
        <f t="shared" si="2"/>
        <v>2006217</v>
      </c>
      <c r="L22" s="119">
        <f t="shared" si="2"/>
        <v>1646796</v>
      </c>
      <c r="M22" s="119">
        <f t="shared" si="2"/>
        <v>1347500</v>
      </c>
      <c r="N22" s="119">
        <f t="shared" si="2"/>
        <v>1414800</v>
      </c>
      <c r="O22" s="119">
        <f t="shared" si="2"/>
        <v>1381644</v>
      </c>
      <c r="P22" s="119">
        <f t="shared" si="2"/>
        <v>933406</v>
      </c>
      <c r="Q22" s="119">
        <f t="shared" si="2"/>
        <v>955013</v>
      </c>
      <c r="R22" s="119">
        <f t="shared" si="2"/>
        <v>1273575</v>
      </c>
    </row>
    <row r="23" spans="1:18" ht="13.5" thickTop="1"/>
  </sheetData>
  <conditionalFormatting sqref="G16:R16">
    <cfRule type="cellIs" dxfId="1" priority="2" operator="equal">
      <formula>0</formula>
    </cfRule>
  </conditionalFormatting>
  <conditionalFormatting sqref="G18:R18">
    <cfRule type="cellIs" dxfId="0" priority="1" operator="equal">
      <formula>0</formula>
    </cfRule>
  </conditionalFormatting>
  <printOptions horizontalCentered="1"/>
  <pageMargins left="0.19" right="0.17" top="1" bottom="0.75" header="0.3" footer="0.3"/>
  <pageSetup pageOrder="overThenDown" orientation="landscape" r:id="rId1"/>
  <headerFooter>
    <oddFooter>&amp;C&amp;F - &amp;A
Page &amp;P of &amp;N</oddFooter>
  </headerFooter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workbookViewId="0"/>
  </sheetViews>
  <sheetFormatPr defaultRowHeight="12.75"/>
  <cols>
    <col min="1" max="1" width="7.85546875" style="125" bestFit="1" customWidth="1"/>
    <col min="2" max="2" width="2.7109375" style="126" customWidth="1"/>
    <col min="3" max="3" width="48" style="126" customWidth="1"/>
    <col min="4" max="4" width="2.7109375" style="126" customWidth="1"/>
    <col min="5" max="5" width="11.7109375" style="127" bestFit="1" customWidth="1"/>
    <col min="6" max="6" width="2.7109375" style="127" customWidth="1"/>
    <col min="7" max="7" width="11" style="127" bestFit="1" customWidth="1"/>
    <col min="8" max="8" width="2.7109375" style="127" customWidth="1"/>
    <col min="9" max="9" width="11.5703125" style="127" bestFit="1" customWidth="1"/>
    <col min="10" max="16384" width="9.140625" style="126"/>
  </cols>
  <sheetData>
    <row r="1" spans="1:9">
      <c r="A1" s="128" t="s">
        <v>0</v>
      </c>
      <c r="B1" s="4"/>
      <c r="C1" s="4"/>
      <c r="D1" s="4"/>
      <c r="E1" s="43"/>
      <c r="F1" s="43"/>
      <c r="G1" s="43"/>
      <c r="H1" s="43"/>
      <c r="I1" s="43"/>
    </row>
    <row r="2" spans="1:9">
      <c r="A2" s="128" t="s">
        <v>64</v>
      </c>
      <c r="B2" s="4"/>
      <c r="C2" s="4"/>
      <c r="D2" s="4"/>
      <c r="E2" s="43"/>
      <c r="F2" s="43"/>
      <c r="G2" s="43"/>
      <c r="H2" s="43"/>
      <c r="I2" s="43"/>
    </row>
    <row r="3" spans="1:9">
      <c r="A3" s="128" t="s">
        <v>207</v>
      </c>
      <c r="B3" s="4"/>
      <c r="C3" s="4"/>
      <c r="D3" s="4"/>
      <c r="E3" s="43"/>
      <c r="F3" s="43"/>
      <c r="G3" s="43"/>
      <c r="H3" s="43"/>
      <c r="I3" s="43"/>
    </row>
    <row r="4" spans="1:9">
      <c r="A4" s="128" t="s">
        <v>27</v>
      </c>
      <c r="B4" s="4"/>
      <c r="C4" s="4"/>
      <c r="D4" s="4"/>
      <c r="E4" s="43"/>
      <c r="F4" s="43"/>
      <c r="G4" s="43"/>
      <c r="H4" s="43"/>
      <c r="I4" s="43"/>
    </row>
    <row r="5" spans="1:9" s="129" customFormat="1">
      <c r="A5" s="125"/>
      <c r="B5" s="126"/>
      <c r="C5" s="126"/>
      <c r="D5" s="126"/>
      <c r="E5" s="127"/>
      <c r="F5" s="127"/>
      <c r="G5" s="127"/>
      <c r="H5" s="127"/>
      <c r="I5" s="127"/>
    </row>
    <row r="6" spans="1:9" s="129" customFormat="1">
      <c r="A6" s="125"/>
      <c r="B6" s="126"/>
      <c r="C6" s="126"/>
      <c r="D6" s="126"/>
      <c r="E6" s="127"/>
      <c r="F6" s="127"/>
      <c r="G6" s="127"/>
      <c r="H6" s="127"/>
      <c r="I6" s="127"/>
    </row>
    <row r="7" spans="1:9">
      <c r="A7" s="130" t="s">
        <v>171</v>
      </c>
      <c r="B7" s="129"/>
      <c r="C7" s="129"/>
      <c r="D7" s="129"/>
      <c r="E7" s="131" t="s">
        <v>2</v>
      </c>
      <c r="F7" s="131"/>
      <c r="G7" s="131" t="s">
        <v>10</v>
      </c>
      <c r="H7" s="131"/>
      <c r="I7" s="131"/>
    </row>
    <row r="8" spans="1:9">
      <c r="A8" s="132" t="s">
        <v>147</v>
      </c>
      <c r="B8" s="129"/>
      <c r="C8" s="133" t="s">
        <v>172</v>
      </c>
      <c r="D8" s="129"/>
      <c r="E8" s="134" t="s">
        <v>5</v>
      </c>
      <c r="F8" s="131"/>
      <c r="G8" s="170" t="s">
        <v>85</v>
      </c>
      <c r="H8" s="131"/>
      <c r="I8" s="288" t="s">
        <v>69</v>
      </c>
    </row>
    <row r="9" spans="1:9">
      <c r="A9" s="127">
        <v>560</v>
      </c>
      <c r="C9" s="135" t="s">
        <v>173</v>
      </c>
      <c r="E9" s="136">
        <f>G9-I9</f>
        <v>1413139</v>
      </c>
      <c r="F9" s="136"/>
      <c r="G9" s="136">
        <v>1448535</v>
      </c>
      <c r="H9" s="136"/>
      <c r="I9" s="136">
        <v>35396</v>
      </c>
    </row>
    <row r="10" spans="1:9">
      <c r="A10" s="125">
        <v>561.1</v>
      </c>
      <c r="C10" s="137" t="s">
        <v>174</v>
      </c>
      <c r="E10" s="138">
        <f t="shared" ref="E10:E21" si="0">G10-I10</f>
        <v>527506</v>
      </c>
      <c r="F10" s="138"/>
      <c r="G10" s="138">
        <v>527534</v>
      </c>
      <c r="H10" s="138"/>
      <c r="I10" s="138">
        <v>28</v>
      </c>
    </row>
    <row r="11" spans="1:9">
      <c r="A11" s="125">
        <v>561.20000000000005</v>
      </c>
      <c r="C11" s="137" t="s">
        <v>175</v>
      </c>
      <c r="E11" s="138">
        <f t="shared" si="0"/>
        <v>898034</v>
      </c>
      <c r="F11" s="138"/>
      <c r="G11" s="138">
        <v>1098571</v>
      </c>
      <c r="H11" s="138"/>
      <c r="I11" s="138">
        <v>200537</v>
      </c>
    </row>
    <row r="12" spans="1:9">
      <c r="A12" s="125">
        <v>561.4</v>
      </c>
      <c r="C12" s="137" t="s">
        <v>176</v>
      </c>
      <c r="E12" s="138">
        <f t="shared" si="0"/>
        <v>474915</v>
      </c>
      <c r="F12" s="138"/>
      <c r="G12" s="138">
        <v>474915</v>
      </c>
      <c r="H12" s="138"/>
      <c r="I12" s="138"/>
    </row>
    <row r="13" spans="1:9">
      <c r="A13" s="125">
        <v>561.79999999999995</v>
      </c>
      <c r="C13" s="137" t="s">
        <v>177</v>
      </c>
      <c r="E13" s="138">
        <f t="shared" si="0"/>
        <v>34596</v>
      </c>
      <c r="F13" s="138"/>
      <c r="G13" s="138">
        <v>34596</v>
      </c>
      <c r="H13" s="138"/>
      <c r="I13" s="138"/>
    </row>
    <row r="14" spans="1:9">
      <c r="A14" s="127">
        <v>562</v>
      </c>
      <c r="C14" s="135" t="s">
        <v>178</v>
      </c>
      <c r="E14" s="127">
        <f t="shared" si="0"/>
        <v>600398</v>
      </c>
      <c r="G14" s="127">
        <v>606426</v>
      </c>
      <c r="I14" s="127">
        <v>6028</v>
      </c>
    </row>
    <row r="15" spans="1:9">
      <c r="A15" s="127">
        <v>563</v>
      </c>
      <c r="C15" s="135" t="s">
        <v>179</v>
      </c>
      <c r="E15" s="127">
        <f t="shared" si="0"/>
        <v>312421</v>
      </c>
      <c r="G15" s="127">
        <v>312421</v>
      </c>
    </row>
    <row r="16" spans="1:9">
      <c r="A16" s="127">
        <v>565</v>
      </c>
      <c r="C16" s="135" t="s">
        <v>180</v>
      </c>
      <c r="E16" s="127">
        <f t="shared" si="0"/>
        <v>5017669</v>
      </c>
      <c r="G16" s="127">
        <v>5017669</v>
      </c>
    </row>
    <row r="17" spans="1:9">
      <c r="A17" s="127">
        <v>566</v>
      </c>
      <c r="C17" s="135" t="s">
        <v>181</v>
      </c>
      <c r="E17" s="127">
        <f t="shared" si="0"/>
        <v>61597</v>
      </c>
      <c r="G17" s="127">
        <v>61597</v>
      </c>
    </row>
    <row r="18" spans="1:9">
      <c r="A18" s="127">
        <v>567</v>
      </c>
      <c r="C18" s="135" t="s">
        <v>182</v>
      </c>
      <c r="E18" s="127">
        <f t="shared" si="0"/>
        <v>1981794</v>
      </c>
      <c r="G18" s="127">
        <v>1981794</v>
      </c>
    </row>
    <row r="19" spans="1:9">
      <c r="A19" s="127">
        <v>568</v>
      </c>
      <c r="C19" s="135" t="s">
        <v>183</v>
      </c>
      <c r="E19" s="127">
        <f t="shared" si="0"/>
        <v>31561</v>
      </c>
      <c r="G19" s="127">
        <v>31561</v>
      </c>
    </row>
    <row r="20" spans="1:9">
      <c r="A20" s="127">
        <v>570</v>
      </c>
      <c r="C20" s="135" t="s">
        <v>184</v>
      </c>
      <c r="E20" s="127">
        <f t="shared" si="0"/>
        <v>841064</v>
      </c>
      <c r="G20" s="127">
        <v>848122</v>
      </c>
      <c r="I20" s="127">
        <v>7058</v>
      </c>
    </row>
    <row r="21" spans="1:9">
      <c r="A21" s="127">
        <v>571</v>
      </c>
      <c r="C21" s="135" t="s">
        <v>185</v>
      </c>
      <c r="E21" s="127">
        <f t="shared" si="0"/>
        <v>1524349</v>
      </c>
      <c r="G21" s="127">
        <v>1524349</v>
      </c>
    </row>
    <row r="22" spans="1:9" ht="13.5" thickBot="1">
      <c r="E22" s="139">
        <f>SUM(E9:E21)</f>
        <v>13719043</v>
      </c>
      <c r="G22" s="139">
        <f>SUM(G9:G21)</f>
        <v>13968090</v>
      </c>
      <c r="I22" s="139">
        <f>SUM(I9:I21)</f>
        <v>249047</v>
      </c>
    </row>
    <row r="23" spans="1:9" ht="13.5" thickTop="1"/>
    <row r="24" spans="1:9">
      <c r="A24" s="126"/>
      <c r="E24" s="126"/>
      <c r="F24" s="126"/>
      <c r="G24" s="126"/>
      <c r="H24" s="126"/>
      <c r="I24" s="126"/>
    </row>
    <row r="25" spans="1:9">
      <c r="A25" s="144" t="s">
        <v>140</v>
      </c>
      <c r="G25" s="126"/>
      <c r="H25" s="126"/>
      <c r="I25" s="126"/>
    </row>
    <row r="26" spans="1:9">
      <c r="A26" s="144" t="s">
        <v>186</v>
      </c>
      <c r="E26" s="131" t="s">
        <v>2</v>
      </c>
      <c r="G26" s="126"/>
      <c r="H26" s="126"/>
      <c r="I26" s="126"/>
    </row>
    <row r="27" spans="1:9">
      <c r="A27" s="125" t="s">
        <v>187</v>
      </c>
      <c r="E27" s="134" t="s">
        <v>5</v>
      </c>
      <c r="G27" s="126"/>
      <c r="H27" s="126"/>
      <c r="I27" s="126"/>
    </row>
    <row r="28" spans="1:9">
      <c r="C28" s="127" t="str">
        <f>C12</f>
        <v>Scheduling, System Control &amp; Dispatch Services</v>
      </c>
      <c r="E28" s="136">
        <f>E12</f>
        <v>474915</v>
      </c>
      <c r="G28" s="126" t="s">
        <v>188</v>
      </c>
    </row>
    <row r="29" spans="1:9">
      <c r="C29" s="126" t="str">
        <f>C13</f>
        <v>Reliability, Planning and Standards Development Services</v>
      </c>
      <c r="E29" s="127">
        <f>E13</f>
        <v>34596</v>
      </c>
      <c r="G29" s="126" t="s">
        <v>189</v>
      </c>
    </row>
    <row r="30" spans="1:9" ht="13.5" thickBot="1">
      <c r="E30" s="139">
        <f>SUM(E28:E29)</f>
        <v>509511</v>
      </c>
    </row>
    <row r="31" spans="1:9" ht="13.5" thickTop="1">
      <c r="E31" s="145"/>
    </row>
    <row r="33" spans="1:7">
      <c r="A33" s="144" t="s">
        <v>190</v>
      </c>
    </row>
    <row r="34" spans="1:7">
      <c r="A34" s="125" t="s">
        <v>191</v>
      </c>
      <c r="E34" s="131" t="s">
        <v>2</v>
      </c>
    </row>
    <row r="35" spans="1:7">
      <c r="A35" s="125" t="s">
        <v>192</v>
      </c>
      <c r="E35" s="134" t="s">
        <v>5</v>
      </c>
    </row>
    <row r="36" spans="1:7">
      <c r="C36" s="126" t="str">
        <f>C10</f>
        <v>Load Dispatch - Reliability</v>
      </c>
      <c r="E36" s="136">
        <f>E10</f>
        <v>527506</v>
      </c>
      <c r="G36" s="126" t="s">
        <v>193</v>
      </c>
    </row>
    <row r="37" spans="1:7">
      <c r="C37" s="126" t="str">
        <f>C11</f>
        <v>Load Dispatch - Monitor &amp; Operate Transmission System</v>
      </c>
      <c r="E37" s="127">
        <f>E11</f>
        <v>898034</v>
      </c>
      <c r="G37" s="126" t="s">
        <v>194</v>
      </c>
    </row>
    <row r="38" spans="1:7">
      <c r="C38" s="126" t="s">
        <v>195</v>
      </c>
      <c r="E38" s="127">
        <v>0</v>
      </c>
      <c r="G38" s="126" t="s">
        <v>196</v>
      </c>
    </row>
    <row r="39" spans="1:7" ht="13.5" thickBot="1">
      <c r="E39" s="139">
        <f>SUM(E36:E38)</f>
        <v>1425540</v>
      </c>
    </row>
    <row r="40" spans="1:7" ht="13.5" thickTop="1"/>
    <row r="42" spans="1:7">
      <c r="A42" s="146" t="s">
        <v>396</v>
      </c>
      <c r="B42" s="140"/>
      <c r="C42" s="140"/>
      <c r="D42" s="140"/>
      <c r="E42" s="147"/>
    </row>
    <row r="43" spans="1:7">
      <c r="A43" s="148"/>
      <c r="B43" s="141"/>
      <c r="C43" s="141" t="s">
        <v>197</v>
      </c>
      <c r="D43" s="141"/>
      <c r="E43" s="149">
        <f>E39</f>
        <v>1425540</v>
      </c>
    </row>
    <row r="44" spans="1:7">
      <c r="A44" s="148"/>
      <c r="B44" s="141"/>
      <c r="C44" s="141" t="s">
        <v>198</v>
      </c>
      <c r="D44" s="141"/>
      <c r="E44" s="150">
        <v>778209</v>
      </c>
      <c r="G44" s="126" t="s">
        <v>199</v>
      </c>
    </row>
    <row r="45" spans="1:7">
      <c r="A45" s="148"/>
      <c r="B45" s="141"/>
      <c r="C45" s="141" t="s">
        <v>200</v>
      </c>
      <c r="D45" s="141"/>
      <c r="E45" s="147">
        <f>E43-E44</f>
        <v>647331</v>
      </c>
    </row>
    <row r="46" spans="1:7">
      <c r="A46" s="148"/>
      <c r="B46" s="141"/>
      <c r="C46" s="141"/>
      <c r="D46" s="141"/>
      <c r="E46" s="150"/>
    </row>
    <row r="47" spans="1:7">
      <c r="A47" s="148"/>
      <c r="B47" s="141"/>
      <c r="C47" s="141" t="s">
        <v>201</v>
      </c>
      <c r="D47" s="141"/>
      <c r="E47" s="150"/>
    </row>
    <row r="48" spans="1:7">
      <c r="A48" s="148"/>
      <c r="B48" s="141"/>
      <c r="C48" s="141" t="s">
        <v>202</v>
      </c>
      <c r="D48" s="141"/>
      <c r="E48" s="150">
        <v>0</v>
      </c>
    </row>
    <row r="49" spans="1:9">
      <c r="A49" s="148"/>
      <c r="B49" s="141"/>
      <c r="C49" s="141" t="s">
        <v>203</v>
      </c>
      <c r="D49" s="141"/>
      <c r="E49" s="150">
        <v>0</v>
      </c>
      <c r="H49" s="126"/>
      <c r="I49" s="126"/>
    </row>
    <row r="50" spans="1:9">
      <c r="A50" s="148"/>
      <c r="B50" s="141"/>
      <c r="C50" s="141" t="s">
        <v>204</v>
      </c>
      <c r="D50" s="141"/>
      <c r="E50" s="150">
        <v>45852</v>
      </c>
      <c r="F50" s="126"/>
    </row>
    <row r="51" spans="1:9">
      <c r="A51" s="148"/>
      <c r="B51" s="141"/>
      <c r="C51" s="151" t="s">
        <v>205</v>
      </c>
      <c r="D51" s="141"/>
      <c r="E51" s="147">
        <f>SUM(E48:E50)</f>
        <v>45852</v>
      </c>
      <c r="F51" s="126"/>
    </row>
    <row r="52" spans="1:9">
      <c r="A52" s="148"/>
      <c r="B52" s="141"/>
      <c r="C52" s="151"/>
      <c r="D52" s="141"/>
      <c r="E52" s="150"/>
      <c r="F52" s="126"/>
    </row>
    <row r="53" spans="1:9" ht="13.5" thickBot="1">
      <c r="A53" s="148"/>
      <c r="B53" s="141"/>
      <c r="C53" s="141" t="s">
        <v>206</v>
      </c>
      <c r="D53" s="141"/>
      <c r="E53" s="152">
        <f>E45-E51</f>
        <v>601479</v>
      </c>
      <c r="F53" s="126"/>
    </row>
    <row r="54" spans="1:9" ht="13.5" thickTop="1">
      <c r="A54" s="153"/>
      <c r="B54" s="142"/>
      <c r="C54" s="154"/>
      <c r="D54" s="142"/>
      <c r="E54" s="143"/>
      <c r="F54" s="126"/>
    </row>
    <row r="55" spans="1:9">
      <c r="C55" s="125"/>
      <c r="F55" s="126"/>
    </row>
    <row r="56" spans="1:9">
      <c r="F56" s="126"/>
    </row>
  </sheetData>
  <printOptions horizontalCentered="1"/>
  <pageMargins left="0.17" right="0.17" top="0.75" bottom="0.75" header="0.3" footer="0.3"/>
  <pageSetup scale="90" orientation="portrait" r:id="rId1"/>
  <headerFooter>
    <oddFooter>&amp;C&amp;F - &amp;A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workbookViewId="0"/>
  </sheetViews>
  <sheetFormatPr defaultRowHeight="12.75"/>
  <cols>
    <col min="1" max="1" width="7.85546875" style="172" bestFit="1" customWidth="1"/>
    <col min="2" max="2" width="2.7109375" style="167" customWidth="1"/>
    <col min="3" max="3" width="39.5703125" style="167" customWidth="1"/>
    <col min="4" max="4" width="2.7109375" style="167" customWidth="1"/>
    <col min="5" max="5" width="11.7109375" style="171" bestFit="1" customWidth="1"/>
    <col min="6" max="6" width="2.7109375" style="171" customWidth="1"/>
    <col min="7" max="7" width="11" style="171" bestFit="1" customWidth="1"/>
    <col min="8" max="8" width="2.7109375" style="171" customWidth="1"/>
    <col min="9" max="9" width="11.5703125" style="171" bestFit="1" customWidth="1"/>
    <col min="10" max="16384" width="9.140625" style="167"/>
  </cols>
  <sheetData>
    <row r="1" spans="1:9">
      <c r="A1" s="128" t="s">
        <v>0</v>
      </c>
      <c r="B1" s="4"/>
      <c r="C1" s="4"/>
      <c r="D1" s="4"/>
      <c r="E1" s="43"/>
      <c r="F1" s="43"/>
      <c r="G1" s="43"/>
      <c r="H1" s="43"/>
      <c r="I1" s="43"/>
    </row>
    <row r="2" spans="1:9">
      <c r="A2" s="128" t="s">
        <v>64</v>
      </c>
      <c r="B2" s="4"/>
      <c r="C2" s="4"/>
      <c r="D2" s="4"/>
      <c r="E2" s="43"/>
      <c r="F2" s="43"/>
      <c r="G2" s="43"/>
      <c r="H2" s="43"/>
      <c r="I2" s="43"/>
    </row>
    <row r="3" spans="1:9">
      <c r="A3" s="128" t="s">
        <v>276</v>
      </c>
      <c r="B3" s="4"/>
      <c r="C3" s="4"/>
      <c r="D3" s="4"/>
      <c r="E3" s="43"/>
      <c r="F3" s="43"/>
      <c r="G3" s="43"/>
      <c r="H3" s="43"/>
      <c r="I3" s="43"/>
    </row>
    <row r="4" spans="1:9">
      <c r="A4" s="128" t="str">
        <f>'Transmission O&amp;M'!A4</f>
        <v>Twelve Months Ended December 31, 2014</v>
      </c>
      <c r="B4" s="4"/>
      <c r="C4" s="4"/>
      <c r="D4" s="4"/>
      <c r="E4" s="43"/>
      <c r="F4" s="43"/>
      <c r="G4" s="43"/>
      <c r="H4" s="43"/>
      <c r="I4" s="43"/>
    </row>
    <row r="5" spans="1:9" s="174" customFormat="1">
      <c r="A5" s="172"/>
      <c r="B5" s="167"/>
      <c r="C5" s="167"/>
      <c r="D5" s="167"/>
      <c r="E5" s="171"/>
      <c r="F5" s="171"/>
      <c r="G5" s="171"/>
      <c r="H5" s="171"/>
      <c r="I5" s="171"/>
    </row>
    <row r="6" spans="1:9" s="174" customFormat="1">
      <c r="A6" s="172"/>
      <c r="B6" s="167"/>
      <c r="C6" s="167"/>
      <c r="D6" s="167"/>
      <c r="E6" s="171"/>
      <c r="F6" s="171"/>
      <c r="G6" s="171"/>
      <c r="H6" s="171"/>
      <c r="I6" s="171"/>
    </row>
    <row r="7" spans="1:9">
      <c r="A7" s="175" t="s">
        <v>171</v>
      </c>
      <c r="B7" s="174"/>
      <c r="C7" s="174"/>
      <c r="D7" s="174"/>
      <c r="E7" s="176" t="s">
        <v>2</v>
      </c>
      <c r="F7" s="176"/>
      <c r="G7" s="176" t="s">
        <v>10</v>
      </c>
      <c r="H7" s="176"/>
      <c r="I7" s="176"/>
    </row>
    <row r="8" spans="1:9">
      <c r="A8" s="177" t="s">
        <v>147</v>
      </c>
      <c r="B8" s="174"/>
      <c r="C8" s="178" t="s">
        <v>172</v>
      </c>
      <c r="D8" s="174"/>
      <c r="E8" s="170" t="s">
        <v>5</v>
      </c>
      <c r="F8" s="176"/>
      <c r="G8" s="283" t="s">
        <v>85</v>
      </c>
      <c r="H8" s="176"/>
      <c r="I8" s="283" t="s">
        <v>69</v>
      </c>
    </row>
    <row r="9" spans="1:9">
      <c r="A9" s="171">
        <v>920</v>
      </c>
      <c r="C9" s="179" t="s">
        <v>224</v>
      </c>
      <c r="E9" s="180">
        <f>G9-I9</f>
        <v>4957448</v>
      </c>
      <c r="F9" s="180"/>
      <c r="G9" s="180">
        <v>5408319</v>
      </c>
      <c r="H9" s="180"/>
      <c r="I9" s="180">
        <v>450871</v>
      </c>
    </row>
    <row r="10" spans="1:9">
      <c r="A10" s="171">
        <v>921</v>
      </c>
      <c r="C10" s="179" t="s">
        <v>225</v>
      </c>
      <c r="E10" s="181">
        <f t="shared" ref="E10:E19" si="0">G10-I10</f>
        <v>3209441</v>
      </c>
      <c r="F10" s="181"/>
      <c r="G10" s="181">
        <v>3504065</v>
      </c>
      <c r="H10" s="181"/>
      <c r="I10" s="181">
        <v>294624</v>
      </c>
    </row>
    <row r="11" spans="1:9">
      <c r="A11" s="171">
        <v>923</v>
      </c>
      <c r="C11" s="179" t="s">
        <v>226</v>
      </c>
      <c r="E11" s="181">
        <f t="shared" si="0"/>
        <v>390685</v>
      </c>
      <c r="F11" s="181"/>
      <c r="G11" s="181">
        <v>428173</v>
      </c>
      <c r="H11" s="181"/>
      <c r="I11" s="181">
        <v>37488</v>
      </c>
    </row>
    <row r="12" spans="1:9">
      <c r="A12" s="171">
        <v>924</v>
      </c>
      <c r="C12" s="179" t="s">
        <v>227</v>
      </c>
      <c r="E12" s="181">
        <f t="shared" si="0"/>
        <v>769928</v>
      </c>
      <c r="F12" s="181"/>
      <c r="G12" s="181">
        <v>898456</v>
      </c>
      <c r="H12" s="181"/>
      <c r="I12" s="181">
        <v>128528</v>
      </c>
    </row>
    <row r="13" spans="1:9">
      <c r="A13" s="171">
        <v>925</v>
      </c>
      <c r="C13" s="179" t="s">
        <v>228</v>
      </c>
      <c r="E13" s="171">
        <f t="shared" si="0"/>
        <v>1239369</v>
      </c>
      <c r="G13" s="171">
        <v>1353564</v>
      </c>
      <c r="I13" s="171">
        <v>114195</v>
      </c>
    </row>
    <row r="14" spans="1:9">
      <c r="A14" s="171">
        <v>926</v>
      </c>
      <c r="C14" s="179" t="s">
        <v>229</v>
      </c>
      <c r="E14" s="171">
        <f t="shared" si="0"/>
        <v>6217315</v>
      </c>
      <c r="G14" s="171">
        <v>6694400</v>
      </c>
      <c r="I14" s="171">
        <v>477085</v>
      </c>
    </row>
    <row r="15" spans="1:9">
      <c r="A15" s="171">
        <v>928</v>
      </c>
      <c r="C15" s="179" t="s">
        <v>230</v>
      </c>
      <c r="E15" s="171">
        <f t="shared" si="0"/>
        <v>362849</v>
      </c>
      <c r="G15" s="171">
        <v>417243</v>
      </c>
      <c r="I15" s="171">
        <v>54394</v>
      </c>
    </row>
    <row r="16" spans="1:9">
      <c r="A16" s="172">
        <v>930.1</v>
      </c>
      <c r="C16" s="179" t="s">
        <v>231</v>
      </c>
      <c r="E16" s="171">
        <f t="shared" si="0"/>
        <v>70505</v>
      </c>
      <c r="G16" s="171">
        <v>73527</v>
      </c>
      <c r="I16" s="171">
        <v>3022</v>
      </c>
    </row>
    <row r="17" spans="1:9">
      <c r="A17" s="172">
        <v>930.2</v>
      </c>
      <c r="C17" s="179" t="s">
        <v>232</v>
      </c>
      <c r="E17" s="171">
        <f t="shared" si="0"/>
        <v>385239</v>
      </c>
      <c r="G17" s="171">
        <v>416883</v>
      </c>
      <c r="I17" s="171">
        <v>31644</v>
      </c>
    </row>
    <row r="18" spans="1:9">
      <c r="A18" s="171">
        <v>931</v>
      </c>
      <c r="C18" s="179" t="s">
        <v>182</v>
      </c>
      <c r="E18" s="171">
        <f t="shared" si="0"/>
        <v>401322</v>
      </c>
      <c r="G18" s="171">
        <v>437470</v>
      </c>
      <c r="I18" s="171">
        <v>36148</v>
      </c>
    </row>
    <row r="19" spans="1:9">
      <c r="A19" s="171">
        <v>935</v>
      </c>
      <c r="C19" s="135" t="s">
        <v>185</v>
      </c>
      <c r="E19" s="171">
        <f t="shared" si="0"/>
        <v>582598</v>
      </c>
      <c r="G19" s="171">
        <v>623909</v>
      </c>
      <c r="I19" s="171">
        <v>41311</v>
      </c>
    </row>
    <row r="20" spans="1:9" ht="13.5" thickBot="1">
      <c r="E20" s="182">
        <f>SUM(E9:E19)</f>
        <v>18586699</v>
      </c>
      <c r="G20" s="182">
        <f>SUM(G9:G19)</f>
        <v>20256009</v>
      </c>
      <c r="I20" s="182">
        <f>SUM(I9:I19)</f>
        <v>1669310</v>
      </c>
    </row>
    <row r="21" spans="1:9" ht="13.5" thickTop="1"/>
  </sheetData>
  <printOptions horizontalCentered="1"/>
  <pageMargins left="0.17" right="0.17" top="0.75" bottom="0.75" header="0.3" footer="0.3"/>
  <pageSetup orientation="portrait" r:id="rId1"/>
  <headerFooter>
    <oddFooter>&amp;C&amp;F -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workbookViewId="0"/>
  </sheetViews>
  <sheetFormatPr defaultRowHeight="12.75"/>
  <cols>
    <col min="1" max="1" width="2.7109375" style="167" customWidth="1"/>
    <col min="2" max="2" width="36.85546875" style="167" bestFit="1" customWidth="1"/>
    <col min="3" max="3" width="2.7109375" style="167" customWidth="1"/>
    <col min="4" max="4" width="11.28515625" style="167" bestFit="1" customWidth="1"/>
    <col min="5" max="16384" width="9.140625" style="167"/>
  </cols>
  <sheetData>
    <row r="1" spans="1:4">
      <c r="A1" s="4" t="s">
        <v>0</v>
      </c>
      <c r="B1" s="4"/>
      <c r="C1" s="4"/>
      <c r="D1" s="4"/>
    </row>
    <row r="2" spans="1:4">
      <c r="A2" s="4" t="s">
        <v>64</v>
      </c>
      <c r="B2" s="4"/>
      <c r="C2" s="4"/>
      <c r="D2" s="4"/>
    </row>
    <row r="3" spans="1:4">
      <c r="A3" s="4" t="s">
        <v>233</v>
      </c>
      <c r="B3" s="4"/>
      <c r="C3" s="4"/>
      <c r="D3" s="4"/>
    </row>
    <row r="4" spans="1:4">
      <c r="A4" s="4" t="str">
        <f>'A&amp;G'!A4</f>
        <v>Twelve Months Ended December 31, 2014</v>
      </c>
      <c r="B4" s="4"/>
      <c r="C4" s="4"/>
      <c r="D4" s="4"/>
    </row>
    <row r="5" spans="1:4">
      <c r="A5" s="4"/>
      <c r="B5" s="4"/>
      <c r="C5" s="4"/>
      <c r="D5" s="4"/>
    </row>
    <row r="6" spans="1:4">
      <c r="A6" s="4"/>
      <c r="B6" s="4"/>
      <c r="C6" s="4"/>
      <c r="D6" s="4"/>
    </row>
    <row r="7" spans="1:4">
      <c r="D7" s="183" t="s">
        <v>2</v>
      </c>
    </row>
    <row r="8" spans="1:4">
      <c r="D8" s="178" t="s">
        <v>5</v>
      </c>
    </row>
    <row r="9" spans="1:4">
      <c r="A9" s="167" t="s">
        <v>234</v>
      </c>
      <c r="D9" s="183"/>
    </row>
    <row r="10" spans="1:4">
      <c r="A10" s="167" t="s">
        <v>235</v>
      </c>
      <c r="D10" s="183"/>
    </row>
    <row r="11" spans="1:4">
      <c r="B11" s="167" t="s">
        <v>67</v>
      </c>
      <c r="D11" s="180">
        <v>81128</v>
      </c>
    </row>
    <row r="12" spans="1:4">
      <c r="B12" s="167" t="s">
        <v>236</v>
      </c>
      <c r="D12" s="171">
        <v>252344</v>
      </c>
    </row>
    <row r="13" spans="1:4">
      <c r="B13" s="167" t="s">
        <v>237</v>
      </c>
      <c r="D13" s="171">
        <v>28032</v>
      </c>
    </row>
    <row r="14" spans="1:4">
      <c r="D14" s="184">
        <f>SUM(D11:D13)</f>
        <v>361504</v>
      </c>
    </row>
    <row r="16" spans="1:4">
      <c r="A16" s="186"/>
      <c r="B16" s="186" t="s">
        <v>238</v>
      </c>
      <c r="C16" s="186"/>
    </row>
    <row r="17" spans="1:4">
      <c r="B17" s="279" t="s">
        <v>392</v>
      </c>
      <c r="D17" s="171">
        <v>305113</v>
      </c>
    </row>
    <row r="19" spans="1:4">
      <c r="A19" s="167" t="s">
        <v>239</v>
      </c>
      <c r="D19" s="184">
        <f>D14-D17</f>
        <v>56391</v>
      </c>
    </row>
    <row r="22" spans="1:4">
      <c r="A22" s="167" t="s">
        <v>240</v>
      </c>
      <c r="D22" s="171"/>
    </row>
    <row r="23" spans="1:4">
      <c r="B23" s="279" t="s">
        <v>393</v>
      </c>
      <c r="D23" s="171">
        <v>73527</v>
      </c>
    </row>
    <row r="24" spans="1:4">
      <c r="B24" s="167" t="s">
        <v>241</v>
      </c>
      <c r="D24" s="171">
        <v>3022</v>
      </c>
    </row>
    <row r="25" spans="1:4">
      <c r="D25" s="184">
        <f>D23-D24</f>
        <v>70505</v>
      </c>
    </row>
    <row r="26" spans="1:4">
      <c r="D26" s="171"/>
    </row>
    <row r="27" spans="1:4" ht="13.5" thickBot="1">
      <c r="A27" s="167" t="s">
        <v>242</v>
      </c>
      <c r="D27" s="187">
        <f>D19+D25</f>
        <v>126896</v>
      </c>
    </row>
    <row r="28" spans="1:4" ht="13.5" thickTop="1">
      <c r="D28" s="171"/>
    </row>
    <row r="29" spans="1:4">
      <c r="D29" s="171"/>
    </row>
    <row r="30" spans="1:4">
      <c r="A30" s="167" t="s">
        <v>243</v>
      </c>
      <c r="D30" s="171"/>
    </row>
    <row r="31" spans="1:4">
      <c r="A31" s="189" t="s">
        <v>244</v>
      </c>
      <c r="B31" s="285" t="s">
        <v>388</v>
      </c>
      <c r="C31" s="189"/>
      <c r="D31" s="189"/>
    </row>
    <row r="32" spans="1:4">
      <c r="A32" s="189"/>
      <c r="B32" s="285" t="s">
        <v>389</v>
      </c>
      <c r="C32" s="189"/>
      <c r="D32" s="189"/>
    </row>
    <row r="33" spans="1:4">
      <c r="B33" s="279" t="s">
        <v>394</v>
      </c>
      <c r="D33" s="190">
        <v>210638</v>
      </c>
    </row>
    <row r="34" spans="1:4">
      <c r="B34" s="279" t="s">
        <v>245</v>
      </c>
      <c r="D34" s="171">
        <v>117616</v>
      </c>
    </row>
    <row r="35" spans="1:4">
      <c r="B35" s="167" t="s">
        <v>246</v>
      </c>
      <c r="D35" s="171">
        <v>4606</v>
      </c>
    </row>
    <row r="36" spans="1:4">
      <c r="B36" s="279" t="s">
        <v>390</v>
      </c>
      <c r="D36" s="184">
        <f>SUM(D33:D35)</f>
        <v>332860</v>
      </c>
    </row>
    <row r="37" spans="1:4">
      <c r="B37" s="279" t="s">
        <v>391</v>
      </c>
      <c r="D37" s="181">
        <v>27747</v>
      </c>
    </row>
    <row r="38" spans="1:4" ht="13.5" thickBot="1">
      <c r="D38" s="182">
        <f>D36-D37</f>
        <v>305113</v>
      </c>
    </row>
    <row r="39" spans="1:4" ht="13.5" thickTop="1">
      <c r="A39" s="286" t="s">
        <v>395</v>
      </c>
      <c r="B39" s="189" t="s">
        <v>248</v>
      </c>
    </row>
    <row r="40" spans="1:4">
      <c r="A40" s="279" t="s">
        <v>247</v>
      </c>
      <c r="B40" s="167" t="s">
        <v>249</v>
      </c>
      <c r="C40" s="189"/>
      <c r="D40" s="181"/>
    </row>
    <row r="41" spans="1:4">
      <c r="B41" s="167" t="s">
        <v>250</v>
      </c>
      <c r="D41" s="171"/>
    </row>
    <row r="42" spans="1:4">
      <c r="A42" s="191"/>
      <c r="B42" s="191"/>
      <c r="C42" s="191"/>
      <c r="D42" s="185"/>
    </row>
    <row r="43" spans="1:4">
      <c r="A43" s="191"/>
      <c r="B43" s="191"/>
      <c r="C43" s="191"/>
      <c r="D43" s="191"/>
    </row>
    <row r="44" spans="1:4">
      <c r="A44" s="191"/>
      <c r="B44" s="191"/>
      <c r="C44" s="191"/>
      <c r="D44" s="191"/>
    </row>
    <row r="45" spans="1:4">
      <c r="A45" s="191"/>
      <c r="B45" s="191"/>
      <c r="C45" s="191"/>
      <c r="D45" s="191"/>
    </row>
    <row r="46" spans="1:4">
      <c r="A46" s="191"/>
      <c r="B46" s="191"/>
      <c r="C46" s="191"/>
      <c r="D46" s="191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/>
  </sheetViews>
  <sheetFormatPr defaultRowHeight="12.75"/>
  <cols>
    <col min="1" max="3" width="2.7109375" style="167" customWidth="1"/>
    <col min="4" max="4" width="20.7109375" style="167" customWidth="1"/>
    <col min="5" max="5" width="2.7109375" style="167" customWidth="1"/>
    <col min="6" max="6" width="11.7109375" style="167" bestFit="1" customWidth="1"/>
    <col min="7" max="7" width="2.7109375" style="167" customWidth="1"/>
    <col min="8" max="8" width="10.7109375" style="171" bestFit="1" customWidth="1"/>
    <col min="9" max="9" width="2.7109375" style="167" customWidth="1"/>
    <col min="10" max="10" width="9.140625" style="167"/>
    <col min="11" max="11" width="2.7109375" style="167" customWidth="1"/>
    <col min="12" max="12" width="10.7109375" style="167" bestFit="1" customWidth="1"/>
    <col min="13" max="16384" width="9.140625" style="167"/>
  </cols>
  <sheetData>
    <row r="1" spans="1:13">
      <c r="A1" s="4" t="s">
        <v>0</v>
      </c>
      <c r="B1" s="4"/>
      <c r="C1" s="4"/>
      <c r="D1" s="4"/>
      <c r="E1" s="4"/>
      <c r="F1" s="4"/>
      <c r="G1" s="4"/>
      <c r="H1" s="43"/>
      <c r="I1" s="4"/>
      <c r="J1" s="4"/>
      <c r="K1" s="4"/>
      <c r="L1" s="4"/>
    </row>
    <row r="2" spans="1:13">
      <c r="A2" s="4" t="s">
        <v>64</v>
      </c>
      <c r="B2" s="4"/>
      <c r="C2" s="4"/>
      <c r="D2" s="4"/>
      <c r="E2" s="4"/>
      <c r="F2" s="4"/>
      <c r="G2" s="4"/>
      <c r="H2" s="43"/>
      <c r="I2" s="4"/>
      <c r="J2" s="4"/>
      <c r="K2" s="4"/>
      <c r="L2" s="4"/>
    </row>
    <row r="3" spans="1:13">
      <c r="A3" s="4" t="s">
        <v>277</v>
      </c>
      <c r="B3" s="4"/>
      <c r="C3" s="4"/>
      <c r="D3" s="4"/>
      <c r="E3" s="4"/>
      <c r="F3" s="4"/>
      <c r="G3" s="4"/>
      <c r="H3" s="43"/>
      <c r="I3" s="4"/>
      <c r="J3" s="4"/>
      <c r="K3" s="4"/>
      <c r="L3" s="4"/>
    </row>
    <row r="4" spans="1:13">
      <c r="A4" s="4" t="str">
        <f>'Reg Com &amp; NonSafety Ad Exp'!A4</f>
        <v>Twelve Months Ended December 31, 2014</v>
      </c>
      <c r="B4" s="4"/>
      <c r="C4" s="4"/>
      <c r="D4" s="4"/>
      <c r="E4" s="4"/>
      <c r="F4" s="4"/>
      <c r="G4" s="4"/>
      <c r="H4" s="43"/>
      <c r="I4" s="4"/>
      <c r="J4" s="4"/>
      <c r="K4" s="4"/>
      <c r="L4" s="4"/>
    </row>
    <row r="5" spans="1:13">
      <c r="M5" s="174"/>
    </row>
    <row r="6" spans="1:13">
      <c r="M6" s="174"/>
    </row>
    <row r="7" spans="1:13">
      <c r="F7" s="183" t="s">
        <v>251</v>
      </c>
      <c r="H7" s="192" t="s">
        <v>10</v>
      </c>
      <c r="I7" s="174"/>
      <c r="J7" s="183"/>
      <c r="K7" s="174"/>
      <c r="L7" s="183" t="s">
        <v>2</v>
      </c>
    </row>
    <row r="8" spans="1:13">
      <c r="F8" s="178" t="s">
        <v>39</v>
      </c>
      <c r="H8" s="170" t="s">
        <v>85</v>
      </c>
      <c r="I8" s="174"/>
      <c r="J8" s="178" t="s">
        <v>69</v>
      </c>
      <c r="K8" s="174"/>
      <c r="L8" s="178" t="s">
        <v>5</v>
      </c>
    </row>
    <row r="9" spans="1:13">
      <c r="A9" s="24" t="s">
        <v>252</v>
      </c>
      <c r="H9" s="167"/>
    </row>
    <row r="10" spans="1:13">
      <c r="A10" s="24"/>
      <c r="B10" s="167" t="s">
        <v>7</v>
      </c>
      <c r="F10" s="167" t="s">
        <v>253</v>
      </c>
      <c r="H10" s="180">
        <v>3794004</v>
      </c>
      <c r="I10" s="293" t="s">
        <v>47</v>
      </c>
      <c r="J10" s="171">
        <v>61078</v>
      </c>
      <c r="L10" s="171">
        <f>H10-J10</f>
        <v>3732926</v>
      </c>
    </row>
    <row r="11" spans="1:13">
      <c r="A11" s="24"/>
      <c r="H11" s="180"/>
      <c r="J11" s="171"/>
      <c r="L11" s="171"/>
    </row>
    <row r="12" spans="1:13">
      <c r="A12" s="24"/>
      <c r="B12" s="167" t="s">
        <v>24</v>
      </c>
      <c r="F12" s="167" t="s">
        <v>254</v>
      </c>
      <c r="H12" s="171">
        <v>742537</v>
      </c>
      <c r="I12" s="171"/>
      <c r="J12" s="171">
        <v>42997</v>
      </c>
      <c r="K12" s="171"/>
      <c r="L12" s="171">
        <f t="shared" ref="L12:L13" si="0">H12-J12</f>
        <v>699540</v>
      </c>
    </row>
    <row r="13" spans="1:13">
      <c r="A13" s="24"/>
      <c r="F13" s="167" t="s">
        <v>255</v>
      </c>
      <c r="H13" s="171">
        <v>325078</v>
      </c>
      <c r="I13" s="171"/>
      <c r="J13" s="171">
        <v>34778</v>
      </c>
      <c r="K13" s="171"/>
      <c r="L13" s="171">
        <f t="shared" si="0"/>
        <v>290300</v>
      </c>
    </row>
    <row r="14" spans="1:13">
      <c r="A14" s="24"/>
      <c r="H14" s="184">
        <f>SUM(H12:H13)</f>
        <v>1067615</v>
      </c>
      <c r="I14" s="171"/>
      <c r="J14" s="184">
        <f>SUM(J12:J13)</f>
        <v>77775</v>
      </c>
      <c r="K14" s="171"/>
      <c r="L14" s="184">
        <f>SUM(L12:L13)</f>
        <v>989840</v>
      </c>
    </row>
    <row r="15" spans="1:13">
      <c r="A15" s="24"/>
      <c r="I15" s="171"/>
      <c r="J15" s="171"/>
      <c r="K15" s="171"/>
      <c r="L15" s="171"/>
    </row>
    <row r="16" spans="1:13">
      <c r="A16" s="24"/>
      <c r="B16" s="167" t="s">
        <v>25</v>
      </c>
    </row>
    <row r="17" spans="1:12">
      <c r="A17" s="24"/>
      <c r="C17" s="167" t="s">
        <v>76</v>
      </c>
      <c r="F17" s="167" t="s">
        <v>256</v>
      </c>
      <c r="H17" s="171">
        <v>1364928</v>
      </c>
      <c r="I17" s="171"/>
      <c r="J17" s="171">
        <v>139021</v>
      </c>
      <c r="K17" s="171"/>
      <c r="L17" s="171">
        <f>H17-J17</f>
        <v>1225907</v>
      </c>
    </row>
    <row r="19" spans="1:12">
      <c r="A19" s="24" t="s">
        <v>257</v>
      </c>
      <c r="I19" s="171"/>
      <c r="J19" s="171"/>
      <c r="K19" s="171"/>
      <c r="L19" s="171"/>
    </row>
    <row r="20" spans="1:12">
      <c r="A20" s="24"/>
      <c r="B20" s="167" t="s">
        <v>258</v>
      </c>
      <c r="I20" s="171"/>
      <c r="J20" s="171"/>
      <c r="K20" s="171"/>
      <c r="L20" s="171"/>
    </row>
    <row r="21" spans="1:12">
      <c r="C21" s="167" t="s">
        <v>259</v>
      </c>
      <c r="I21" s="171"/>
      <c r="J21" s="171"/>
      <c r="K21" s="171"/>
      <c r="L21" s="171"/>
    </row>
    <row r="22" spans="1:12">
      <c r="D22" s="167" t="s">
        <v>260</v>
      </c>
      <c r="F22" s="167" t="s">
        <v>261</v>
      </c>
      <c r="H22" s="180">
        <v>67743</v>
      </c>
      <c r="I22" s="171"/>
      <c r="J22" s="181"/>
      <c r="K22" s="171"/>
      <c r="L22" s="171"/>
    </row>
    <row r="23" spans="1:12">
      <c r="D23" s="167" t="s">
        <v>262</v>
      </c>
      <c r="F23" s="167" t="s">
        <v>261</v>
      </c>
      <c r="H23" s="188">
        <v>2129001</v>
      </c>
      <c r="I23" s="171"/>
      <c r="J23" s="193"/>
      <c r="K23" s="171"/>
      <c r="L23" s="188"/>
    </row>
    <row r="24" spans="1:12">
      <c r="H24" s="171">
        <f>SUM(H22:H23)</f>
        <v>2196744</v>
      </c>
      <c r="I24" s="171"/>
      <c r="J24" s="171">
        <v>145553</v>
      </c>
      <c r="K24" s="171"/>
      <c r="L24" s="171">
        <f>H24-J24</f>
        <v>2051191</v>
      </c>
    </row>
    <row r="25" spans="1:12">
      <c r="C25" s="167" t="s">
        <v>263</v>
      </c>
      <c r="F25" s="167" t="s">
        <v>261</v>
      </c>
      <c r="H25" s="171">
        <v>4106</v>
      </c>
      <c r="I25" s="171"/>
      <c r="J25" s="181">
        <v>396</v>
      </c>
      <c r="K25" s="171"/>
      <c r="L25" s="171">
        <f t="shared" ref="L25" si="1">H25-J25</f>
        <v>3710</v>
      </c>
    </row>
    <row r="26" spans="1:12">
      <c r="B26" s="167" t="s">
        <v>264</v>
      </c>
      <c r="I26" s="171"/>
      <c r="J26" s="171"/>
      <c r="K26" s="171"/>
      <c r="L26" s="171"/>
    </row>
    <row r="27" spans="1:12">
      <c r="C27" s="167" t="s">
        <v>265</v>
      </c>
      <c r="F27" s="167" t="s">
        <v>261</v>
      </c>
      <c r="H27" s="171">
        <v>7089156</v>
      </c>
      <c r="I27" s="171"/>
      <c r="J27" s="171">
        <v>243054</v>
      </c>
      <c r="K27" s="171"/>
      <c r="L27" s="171">
        <f t="shared" ref="L27:L35" si="2">H27-J27</f>
        <v>6846102</v>
      </c>
    </row>
    <row r="28" spans="1:12">
      <c r="C28" s="167" t="s">
        <v>266</v>
      </c>
      <c r="F28" s="167" t="s">
        <v>261</v>
      </c>
      <c r="H28" s="171">
        <v>191201</v>
      </c>
      <c r="I28" s="171"/>
      <c r="J28" s="171">
        <v>50693</v>
      </c>
      <c r="K28" s="171"/>
      <c r="L28" s="171">
        <f t="shared" si="2"/>
        <v>140508</v>
      </c>
    </row>
    <row r="29" spans="1:12">
      <c r="C29" s="167" t="s">
        <v>267</v>
      </c>
      <c r="I29" s="171"/>
      <c r="J29" s="171"/>
      <c r="K29" s="171"/>
      <c r="L29" s="171"/>
    </row>
    <row r="30" spans="1:12">
      <c r="D30" s="167" t="s">
        <v>268</v>
      </c>
      <c r="I30" s="171"/>
      <c r="J30" s="171"/>
      <c r="K30" s="171"/>
      <c r="L30" s="171"/>
    </row>
    <row r="31" spans="1:12">
      <c r="D31" s="167" t="s">
        <v>269</v>
      </c>
      <c r="F31" s="167" t="s">
        <v>261</v>
      </c>
      <c r="H31" s="171">
        <v>120913</v>
      </c>
      <c r="I31" s="171"/>
      <c r="J31" s="171"/>
      <c r="K31" s="171"/>
      <c r="L31" s="171"/>
    </row>
    <row r="32" spans="1:12">
      <c r="D32" s="167" t="s">
        <v>270</v>
      </c>
      <c r="F32" s="167" t="s">
        <v>261</v>
      </c>
      <c r="H32" s="188">
        <v>77801</v>
      </c>
      <c r="I32" s="171"/>
      <c r="J32" s="188"/>
      <c r="K32" s="171"/>
      <c r="L32" s="188"/>
    </row>
    <row r="33" spans="1:12">
      <c r="H33" s="171">
        <f>SUM(H31:H32)</f>
        <v>198714</v>
      </c>
      <c r="I33" s="171"/>
      <c r="J33" s="171">
        <v>0</v>
      </c>
      <c r="K33" s="171"/>
      <c r="L33" s="171">
        <f>H33-J33</f>
        <v>198714</v>
      </c>
    </row>
    <row r="34" spans="1:12">
      <c r="D34" s="167" t="s">
        <v>271</v>
      </c>
      <c r="F34" s="167" t="s">
        <v>261</v>
      </c>
      <c r="H34" s="171">
        <v>955309</v>
      </c>
      <c r="I34" s="171"/>
      <c r="J34" s="171">
        <v>0</v>
      </c>
      <c r="K34" s="171"/>
      <c r="L34" s="171">
        <f t="shared" si="2"/>
        <v>955309</v>
      </c>
    </row>
    <row r="35" spans="1:12">
      <c r="D35" s="167" t="s">
        <v>272</v>
      </c>
      <c r="F35" s="167" t="s">
        <v>261</v>
      </c>
      <c r="H35" s="171">
        <v>1254</v>
      </c>
      <c r="I35" s="171"/>
      <c r="J35" s="171">
        <v>105</v>
      </c>
      <c r="K35" s="171"/>
      <c r="L35" s="171">
        <f t="shared" si="2"/>
        <v>1149</v>
      </c>
    </row>
    <row r="36" spans="1:12">
      <c r="H36" s="184">
        <f>SUM(H33:H35)</f>
        <v>1155277</v>
      </c>
      <c r="I36" s="171"/>
      <c r="J36" s="184">
        <f>SUM(J33:J35)</f>
        <v>105</v>
      </c>
      <c r="K36" s="171"/>
      <c r="L36" s="184">
        <f>SUM(L33:L35)</f>
        <v>1155172</v>
      </c>
    </row>
    <row r="37" spans="1:12">
      <c r="C37" s="167" t="s">
        <v>273</v>
      </c>
      <c r="H37" s="167"/>
    </row>
    <row r="38" spans="1:12">
      <c r="D38" s="167" t="s">
        <v>274</v>
      </c>
      <c r="F38" s="167" t="s">
        <v>261</v>
      </c>
      <c r="H38" s="181">
        <v>271747</v>
      </c>
      <c r="I38" s="181"/>
      <c r="J38" s="181">
        <v>178395</v>
      </c>
      <c r="K38" s="171"/>
      <c r="L38" s="171">
        <f>H38-J38</f>
        <v>93352</v>
      </c>
    </row>
    <row r="39" spans="1:12" ht="13.5" thickBot="1">
      <c r="A39" s="167" t="s">
        <v>275</v>
      </c>
      <c r="H39" s="182">
        <f>H24+H25+H27+H28+H38+H36</f>
        <v>10908231</v>
      </c>
      <c r="J39" s="182">
        <f>J24+J25+J27+J28+J38+J36</f>
        <v>618196</v>
      </c>
      <c r="L39" s="182">
        <f>L24+L25+L27+L28+L38+L36</f>
        <v>10290035</v>
      </c>
    </row>
    <row r="40" spans="1:12" ht="13.5" thickTop="1"/>
    <row r="41" spans="1:12">
      <c r="F41" s="173"/>
    </row>
    <row r="42" spans="1:12">
      <c r="A42" s="293" t="s">
        <v>410</v>
      </c>
    </row>
    <row r="43" spans="1:12">
      <c r="B43" s="293" t="s">
        <v>411</v>
      </c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workbookViewId="0"/>
  </sheetViews>
  <sheetFormatPr defaultRowHeight="12.75"/>
  <cols>
    <col min="1" max="1" width="43.7109375" style="194" customWidth="1"/>
    <col min="2" max="2" width="9.140625" style="194"/>
    <col min="3" max="3" width="13.42578125" style="194" bestFit="1" customWidth="1"/>
    <col min="4" max="16384" width="9.140625" style="194"/>
  </cols>
  <sheetData>
    <row r="1" spans="1:3">
      <c r="A1" s="4" t="s">
        <v>0</v>
      </c>
      <c r="B1" s="4"/>
      <c r="C1" s="4"/>
    </row>
    <row r="2" spans="1:3">
      <c r="A2" s="4" t="s">
        <v>64</v>
      </c>
      <c r="B2" s="4"/>
      <c r="C2" s="4"/>
    </row>
    <row r="3" spans="1:3">
      <c r="A3" s="4" t="s">
        <v>278</v>
      </c>
      <c r="B3" s="4"/>
      <c r="C3" s="4"/>
    </row>
    <row r="4" spans="1:3">
      <c r="A4" s="4" t="str">
        <f>'Other O&amp;M Expenses'!A4</f>
        <v>Twelve Months Ended December 31, 2014</v>
      </c>
      <c r="B4" s="4"/>
      <c r="C4" s="4"/>
    </row>
    <row r="5" spans="1:3">
      <c r="A5" s="4"/>
      <c r="B5" s="4"/>
      <c r="C5" s="4"/>
    </row>
    <row r="7" spans="1:3">
      <c r="A7" s="195" t="s">
        <v>279</v>
      </c>
      <c r="B7" s="135"/>
      <c r="C7" s="196">
        <v>2014</v>
      </c>
    </row>
    <row r="9" spans="1:3">
      <c r="A9" s="197" t="s">
        <v>280</v>
      </c>
      <c r="B9" s="135"/>
      <c r="C9" s="135"/>
    </row>
    <row r="10" spans="1:3">
      <c r="A10" s="198" t="s">
        <v>281</v>
      </c>
      <c r="B10" s="135"/>
      <c r="C10" s="199">
        <v>908006.72</v>
      </c>
    </row>
    <row r="12" spans="1:3">
      <c r="A12" s="198" t="s">
        <v>282</v>
      </c>
      <c r="B12" s="135"/>
      <c r="C12" s="135"/>
    </row>
    <row r="13" spans="1:3">
      <c r="A13" s="198" t="s">
        <v>281</v>
      </c>
      <c r="B13" s="135"/>
      <c r="C13" s="200">
        <v>2252899.4300000002</v>
      </c>
    </row>
    <row r="15" spans="1:3">
      <c r="A15" s="198" t="s">
        <v>283</v>
      </c>
      <c r="B15" s="135"/>
      <c r="C15" s="135"/>
    </row>
    <row r="16" spans="1:3">
      <c r="A16" s="198" t="s">
        <v>281</v>
      </c>
      <c r="B16" s="135"/>
      <c r="C16" s="200">
        <v>112666.21</v>
      </c>
    </row>
    <row r="17" spans="1:3">
      <c r="A17" s="135"/>
      <c r="B17" s="135"/>
      <c r="C17" s="201"/>
    </row>
    <row r="18" spans="1:3">
      <c r="A18" s="198" t="s">
        <v>284</v>
      </c>
      <c r="B18" s="135"/>
      <c r="C18" s="201"/>
    </row>
    <row r="19" spans="1:3">
      <c r="A19" s="198" t="s">
        <v>281</v>
      </c>
      <c r="B19" s="135"/>
      <c r="C19" s="200">
        <v>424864.59</v>
      </c>
    </row>
    <row r="20" spans="1:3">
      <c r="A20" s="135"/>
      <c r="B20" s="135"/>
      <c r="C20" s="201"/>
    </row>
    <row r="21" spans="1:3">
      <c r="A21" s="198" t="s">
        <v>285</v>
      </c>
      <c r="B21" s="135"/>
      <c r="C21" s="201"/>
    </row>
    <row r="22" spans="1:3">
      <c r="A22" s="198" t="s">
        <v>286</v>
      </c>
      <c r="B22" s="135"/>
      <c r="C22" s="201">
        <v>2122.09</v>
      </c>
    </row>
    <row r="23" spans="1:3">
      <c r="A23" s="198" t="s">
        <v>287</v>
      </c>
      <c r="B23" s="135"/>
      <c r="C23" s="201">
        <v>3284.29</v>
      </c>
    </row>
    <row r="24" spans="1:3">
      <c r="A24" s="198" t="s">
        <v>288</v>
      </c>
      <c r="B24" s="135"/>
      <c r="C24" s="202">
        <v>6874.08</v>
      </c>
    </row>
    <row r="25" spans="1:3" ht="13.5" thickBot="1">
      <c r="A25" s="198" t="s">
        <v>275</v>
      </c>
      <c r="B25" s="135"/>
      <c r="C25" s="203">
        <f>SUM(C22:C24)</f>
        <v>12280.46</v>
      </c>
    </row>
    <row r="26" spans="1:3" ht="13.5" thickTop="1">
      <c r="A26" s="135"/>
      <c r="B26" s="135"/>
      <c r="C26" s="135"/>
    </row>
    <row r="27" spans="1:3">
      <c r="A27" s="198" t="s">
        <v>289</v>
      </c>
      <c r="B27" s="135"/>
      <c r="C27" s="135"/>
    </row>
    <row r="28" spans="1:3">
      <c r="A28" s="198" t="s">
        <v>287</v>
      </c>
      <c r="B28" s="135"/>
      <c r="C28" s="201">
        <v>9512.84</v>
      </c>
    </row>
    <row r="29" spans="1:3">
      <c r="A29" s="198" t="s">
        <v>288</v>
      </c>
      <c r="B29" s="135"/>
      <c r="C29" s="201">
        <v>247</v>
      </c>
    </row>
    <row r="30" spans="1:3" ht="13.5" thickBot="1">
      <c r="A30" s="198" t="s">
        <v>275</v>
      </c>
      <c r="B30" s="135"/>
      <c r="C30" s="203">
        <f>SUM(C28:C29)</f>
        <v>9759.84</v>
      </c>
    </row>
    <row r="31" spans="1:3" ht="13.5" thickTop="1">
      <c r="A31" s="135"/>
      <c r="B31" s="135"/>
      <c r="C31" s="201"/>
    </row>
    <row r="32" spans="1:3">
      <c r="A32" s="198" t="s">
        <v>290</v>
      </c>
      <c r="B32" s="135"/>
      <c r="C32" s="201"/>
    </row>
    <row r="33" spans="1:4">
      <c r="A33" s="198" t="s">
        <v>291</v>
      </c>
      <c r="B33" s="135"/>
      <c r="C33" s="201">
        <v>138</v>
      </c>
    </row>
    <row r="34" spans="1:4">
      <c r="A34" s="198" t="s">
        <v>287</v>
      </c>
      <c r="B34" s="135"/>
      <c r="C34" s="201">
        <v>4258.8599999999997</v>
      </c>
    </row>
    <row r="35" spans="1:4">
      <c r="A35" s="198" t="s">
        <v>288</v>
      </c>
      <c r="B35" s="135"/>
      <c r="C35" s="201">
        <v>2591.44</v>
      </c>
      <c r="D35" s="194" t="s">
        <v>292</v>
      </c>
    </row>
    <row r="36" spans="1:4" ht="13.5" thickBot="1">
      <c r="A36" s="198" t="s">
        <v>275</v>
      </c>
      <c r="B36" s="135"/>
      <c r="C36" s="203">
        <f>SUM(C33:C35)</f>
        <v>6988.2999999999993</v>
      </c>
    </row>
    <row r="37" spans="1:4" ht="13.5" thickTop="1">
      <c r="A37" s="135"/>
      <c r="B37" s="135"/>
      <c r="C37" s="201"/>
    </row>
    <row r="38" spans="1:4">
      <c r="A38" s="198" t="s">
        <v>293</v>
      </c>
      <c r="B38" s="135"/>
      <c r="C38" s="201"/>
    </row>
    <row r="39" spans="1:4">
      <c r="A39" s="198" t="s">
        <v>281</v>
      </c>
      <c r="B39" s="135"/>
      <c r="C39" s="200">
        <v>3279895.7</v>
      </c>
    </row>
    <row r="40" spans="1:4">
      <c r="A40" s="137" t="s">
        <v>294</v>
      </c>
      <c r="B40" s="135"/>
      <c r="C40" s="261">
        <v>1618.18</v>
      </c>
    </row>
    <row r="41" spans="1:4" ht="13.5" thickBot="1">
      <c r="A41" s="137"/>
      <c r="B41" s="135"/>
      <c r="C41" s="204">
        <f>SUM(C39:C40)</f>
        <v>3281513.8800000004</v>
      </c>
    </row>
    <row r="42" spans="1:4" ht="13.5" thickTop="1">
      <c r="A42" s="135"/>
      <c r="B42" s="135"/>
      <c r="C42" s="200"/>
    </row>
    <row r="43" spans="1:4">
      <c r="A43" s="198" t="s">
        <v>295</v>
      </c>
      <c r="B43" s="135"/>
      <c r="C43" s="200"/>
    </row>
    <row r="44" spans="1:4">
      <c r="A44" s="198" t="s">
        <v>281</v>
      </c>
      <c r="B44" s="135"/>
      <c r="C44" s="200">
        <v>2046675.76</v>
      </c>
    </row>
    <row r="45" spans="1:4">
      <c r="A45" s="137" t="s">
        <v>294</v>
      </c>
      <c r="B45" s="135"/>
      <c r="C45" s="200">
        <v>4675.4399999999996</v>
      </c>
    </row>
    <row r="46" spans="1:4">
      <c r="A46" s="137" t="s">
        <v>296</v>
      </c>
      <c r="C46" s="205">
        <v>1052.6300000000001</v>
      </c>
    </row>
    <row r="47" spans="1:4" ht="13.5" thickBot="1">
      <c r="A47" s="137"/>
      <c r="B47" s="135"/>
      <c r="C47" s="204">
        <f>SUM(C44:C46)</f>
        <v>2052403.8299999998</v>
      </c>
    </row>
    <row r="48" spans="1:4" ht="13.5" thickTop="1">
      <c r="A48" s="135"/>
      <c r="B48" s="135"/>
      <c r="C48" s="200"/>
    </row>
    <row r="49" spans="1:3">
      <c r="A49" s="198" t="s">
        <v>297</v>
      </c>
      <c r="B49" s="135"/>
      <c r="C49" s="200"/>
    </row>
    <row r="50" spans="1:3">
      <c r="A50" s="198" t="s">
        <v>298</v>
      </c>
      <c r="B50" s="135"/>
      <c r="C50" s="200">
        <v>210979.45</v>
      </c>
    </row>
    <row r="51" spans="1:3">
      <c r="A51" s="198" t="s">
        <v>287</v>
      </c>
      <c r="B51" s="135"/>
      <c r="C51" s="200">
        <v>235953.37</v>
      </c>
    </row>
    <row r="52" spans="1:3">
      <c r="A52" s="198" t="s">
        <v>288</v>
      </c>
      <c r="B52" s="135"/>
      <c r="C52" s="200">
        <v>163705.36000000002</v>
      </c>
    </row>
    <row r="53" spans="1:3">
      <c r="A53" s="198" t="s">
        <v>291</v>
      </c>
      <c r="B53" s="135"/>
      <c r="C53" s="200">
        <v>574.9</v>
      </c>
    </row>
    <row r="54" spans="1:3" ht="13.5" thickBot="1">
      <c r="A54" s="135"/>
      <c r="B54" s="135"/>
      <c r="C54" s="204">
        <f>SUM(C50:C53)</f>
        <v>611213.08000000007</v>
      </c>
    </row>
    <row r="55" spans="1:3" ht="13.5" thickTop="1">
      <c r="A55" s="135"/>
      <c r="B55" s="135"/>
      <c r="C55" s="201"/>
    </row>
    <row r="56" spans="1:3">
      <c r="A56" s="135"/>
      <c r="B56" s="135"/>
      <c r="C56" s="201"/>
    </row>
    <row r="57" spans="1:3" ht="13.5" thickBot="1">
      <c r="A57" s="137" t="s">
        <v>10</v>
      </c>
      <c r="B57" s="135"/>
      <c r="C57" s="206">
        <f>C10+C13+C16+C19+C25+C30+C36+C41+C47+C54</f>
        <v>9672596.3399999999</v>
      </c>
    </row>
    <row r="58" spans="1:3" ht="13.5" thickTop="1"/>
  </sheetData>
  <printOptions horizontalCentered="1"/>
  <pageMargins left="0.17" right="0.17" top="0.76" bottom="0.17" header="0.3" footer="0.17"/>
  <pageSetup scale="95" orientation="portrait" r:id="rId1"/>
  <headerFooter>
    <oddFooter>&amp;C&amp;F - 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/>
  </sheetViews>
  <sheetFormatPr defaultRowHeight="12.75"/>
  <cols>
    <col min="1" max="1" width="2.7109375" style="194" customWidth="1"/>
    <col min="2" max="2" width="17.7109375" style="194" bestFit="1" customWidth="1"/>
    <col min="3" max="3" width="2.7109375" style="194" customWidth="1"/>
    <col min="4" max="4" width="13.28515625" style="194" bestFit="1" customWidth="1"/>
    <col min="5" max="5" width="2.7109375" style="194" customWidth="1"/>
    <col min="6" max="6" width="12" style="194" bestFit="1" customWidth="1"/>
    <col min="7" max="7" width="2.7109375" style="194" customWidth="1"/>
    <col min="8" max="8" width="10.7109375" style="194" bestFit="1" customWidth="1"/>
    <col min="9" max="9" width="2.7109375" style="194" customWidth="1"/>
    <col min="10" max="10" width="10.7109375" style="194" bestFit="1" customWidth="1"/>
    <col min="11" max="16384" width="9.140625" style="194"/>
  </cols>
  <sheetData>
    <row r="1" spans="1:12">
      <c r="A1" s="4" t="s">
        <v>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2">
      <c r="A2" s="4" t="s">
        <v>64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2">
      <c r="A3" s="4" t="s">
        <v>377</v>
      </c>
      <c r="B3" s="4"/>
      <c r="C3" s="4"/>
      <c r="D3" s="221"/>
      <c r="E3" s="221"/>
      <c r="F3" s="221"/>
      <c r="G3" s="221"/>
      <c r="H3" s="221"/>
      <c r="I3" s="221"/>
      <c r="J3" s="221"/>
    </row>
    <row r="4" spans="1:12">
      <c r="A4" s="4" t="str">
        <f>'Acct 456.1'!A4</f>
        <v>Twelve Months Ended December 31, 2014</v>
      </c>
      <c r="B4" s="4"/>
      <c r="C4" s="4"/>
      <c r="D4" s="221"/>
      <c r="E4" s="221"/>
      <c r="F4" s="221"/>
      <c r="G4" s="221"/>
      <c r="H4" s="221"/>
      <c r="I4" s="221"/>
      <c r="J4" s="221"/>
    </row>
    <row r="5" spans="1:12">
      <c r="K5" s="209"/>
      <c r="L5" s="209"/>
    </row>
    <row r="6" spans="1:12">
      <c r="K6" s="209"/>
      <c r="L6" s="209"/>
    </row>
    <row r="7" spans="1:12">
      <c r="D7" s="210" t="s">
        <v>36</v>
      </c>
      <c r="F7" s="209"/>
      <c r="G7" s="209"/>
      <c r="H7" s="209"/>
      <c r="I7" s="209"/>
      <c r="J7" s="211" t="s">
        <v>2</v>
      </c>
      <c r="K7" s="209"/>
      <c r="L7" s="209"/>
    </row>
    <row r="8" spans="1:12">
      <c r="D8" s="213" t="s">
        <v>320</v>
      </c>
      <c r="F8" s="214" t="s">
        <v>321</v>
      </c>
      <c r="G8" s="209"/>
      <c r="H8" s="214" t="s">
        <v>69</v>
      </c>
      <c r="I8" s="209"/>
      <c r="J8" s="214" t="s">
        <v>5</v>
      </c>
      <c r="K8" s="209"/>
      <c r="L8" s="209"/>
    </row>
    <row r="9" spans="1:12">
      <c r="A9" s="194" t="s">
        <v>6</v>
      </c>
      <c r="D9" s="194" t="s">
        <v>322</v>
      </c>
      <c r="F9" s="216">
        <v>8411570</v>
      </c>
      <c r="G9" s="216"/>
      <c r="H9" s="216">
        <v>111748</v>
      </c>
      <c r="I9" s="216"/>
      <c r="J9" s="216">
        <f>F9-H9</f>
        <v>8299822</v>
      </c>
      <c r="K9" s="209"/>
      <c r="L9" s="209"/>
    </row>
    <row r="10" spans="1:12">
      <c r="A10" s="194" t="s">
        <v>7</v>
      </c>
      <c r="D10" s="194" t="s">
        <v>323</v>
      </c>
      <c r="F10" s="209">
        <v>3488946</v>
      </c>
      <c r="G10" s="209"/>
      <c r="H10" s="209">
        <v>223460</v>
      </c>
      <c r="I10" s="209"/>
      <c r="J10" s="209">
        <f t="shared" ref="J10:J15" si="0">F10-H10</f>
        <v>3265486</v>
      </c>
      <c r="K10" s="209"/>
      <c r="L10" s="209"/>
    </row>
    <row r="11" spans="1:12">
      <c r="A11" s="194" t="s">
        <v>8</v>
      </c>
      <c r="D11" s="194" t="s">
        <v>324</v>
      </c>
      <c r="F11" s="209">
        <v>8955325</v>
      </c>
      <c r="G11" s="209"/>
      <c r="H11" s="209">
        <v>871405</v>
      </c>
      <c r="I11" s="209"/>
      <c r="J11" s="209">
        <f t="shared" si="0"/>
        <v>8083920</v>
      </c>
      <c r="K11" s="209"/>
      <c r="L11" s="209"/>
    </row>
    <row r="12" spans="1:12">
      <c r="A12" s="194" t="s">
        <v>267</v>
      </c>
      <c r="F12" s="209"/>
      <c r="G12" s="209"/>
      <c r="H12" s="209"/>
      <c r="I12" s="209"/>
      <c r="J12" s="209"/>
      <c r="K12" s="209"/>
      <c r="L12" s="209"/>
    </row>
    <row r="13" spans="1:12">
      <c r="B13" s="194" t="s">
        <v>325</v>
      </c>
      <c r="D13" s="194" t="s">
        <v>326</v>
      </c>
      <c r="F13" s="209">
        <v>2070855</v>
      </c>
      <c r="G13" s="209"/>
      <c r="H13" s="209">
        <v>238080</v>
      </c>
      <c r="I13" s="209"/>
      <c r="J13" s="209">
        <f t="shared" si="0"/>
        <v>1832775</v>
      </c>
      <c r="K13" s="209"/>
      <c r="L13" s="209"/>
    </row>
    <row r="14" spans="1:12">
      <c r="B14" s="194" t="s">
        <v>327</v>
      </c>
      <c r="D14" s="194" t="s">
        <v>328</v>
      </c>
      <c r="F14" s="209">
        <v>91951</v>
      </c>
      <c r="G14" s="209"/>
      <c r="H14" s="209">
        <v>3874</v>
      </c>
      <c r="I14" s="209"/>
      <c r="J14" s="209">
        <f t="shared" si="0"/>
        <v>88077</v>
      </c>
      <c r="K14" s="209"/>
      <c r="L14" s="209"/>
    </row>
    <row r="15" spans="1:12">
      <c r="B15" s="194" t="s">
        <v>329</v>
      </c>
      <c r="D15" s="194" t="s">
        <v>330</v>
      </c>
      <c r="F15" s="209">
        <v>85907</v>
      </c>
      <c r="G15" s="209"/>
      <c r="H15" s="209">
        <v>2827</v>
      </c>
      <c r="I15" s="209"/>
      <c r="J15" s="209">
        <f t="shared" si="0"/>
        <v>83080</v>
      </c>
      <c r="K15" s="209"/>
      <c r="L15" s="209"/>
    </row>
    <row r="16" spans="1:12" ht="13.5" thickBot="1">
      <c r="F16" s="222">
        <f>SUM(F9:F15)</f>
        <v>23104554</v>
      </c>
      <c r="G16" s="209"/>
      <c r="H16" s="222">
        <f>SUM(H9:H15)</f>
        <v>1451394</v>
      </c>
      <c r="I16" s="209"/>
      <c r="J16" s="222">
        <f>SUM(J9:J15)</f>
        <v>21653160</v>
      </c>
      <c r="K16" s="209"/>
      <c r="L16" s="209"/>
    </row>
    <row r="17" spans="6:12" ht="13.5" thickTop="1">
      <c r="F17" s="209"/>
      <c r="G17" s="209"/>
      <c r="H17" s="209"/>
      <c r="I17" s="209"/>
      <c r="J17" s="209"/>
      <c r="K17" s="209"/>
      <c r="L17" s="209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/>
  </sheetViews>
  <sheetFormatPr defaultRowHeight="12.75"/>
  <cols>
    <col min="1" max="1" width="2.7109375" style="194" customWidth="1"/>
    <col min="2" max="2" width="12.7109375" style="194" customWidth="1"/>
    <col min="3" max="3" width="2.7109375" style="194" customWidth="1"/>
    <col min="4" max="4" width="12.28515625" style="194" bestFit="1" customWidth="1"/>
    <col min="5" max="5" width="2.7109375" style="194" customWidth="1"/>
    <col min="6" max="6" width="14.42578125" style="194" bestFit="1" customWidth="1"/>
    <col min="7" max="7" width="2.7109375" style="194" customWidth="1"/>
    <col min="8" max="8" width="12.7109375" style="194" bestFit="1" customWidth="1"/>
    <col min="9" max="9" width="2.7109375" style="194" customWidth="1"/>
    <col min="10" max="10" width="14.42578125" style="194" bestFit="1" customWidth="1"/>
    <col min="11" max="16384" width="9.140625" style="194"/>
  </cols>
  <sheetData>
    <row r="1" spans="1:10">
      <c r="A1" s="4" t="s">
        <v>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>
      <c r="A2" s="4" t="s">
        <v>64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>
      <c r="A3" s="4" t="s">
        <v>378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>
      <c r="A4" s="4" t="str">
        <f>'Wages &amp; Salary'!A4</f>
        <v>Twelve Months Ended December 31, 2014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>
      <c r="A5" s="104"/>
    </row>
    <row r="7" spans="1:10">
      <c r="D7" s="210" t="s">
        <v>35</v>
      </c>
      <c r="F7" s="210" t="s">
        <v>36</v>
      </c>
      <c r="H7" s="210"/>
      <c r="J7" s="210" t="s">
        <v>2</v>
      </c>
    </row>
    <row r="8" spans="1:10">
      <c r="D8" s="213" t="s">
        <v>39</v>
      </c>
      <c r="F8" s="213" t="s">
        <v>31</v>
      </c>
      <c r="H8" s="213" t="s">
        <v>69</v>
      </c>
      <c r="J8" s="213" t="s">
        <v>5</v>
      </c>
    </row>
    <row r="9" spans="1:10">
      <c r="A9" s="194" t="s">
        <v>331</v>
      </c>
    </row>
    <row r="10" spans="1:10">
      <c r="B10" s="194" t="s">
        <v>76</v>
      </c>
      <c r="D10" s="194" t="s">
        <v>332</v>
      </c>
      <c r="F10" s="216">
        <v>1097515962</v>
      </c>
      <c r="G10" s="216"/>
      <c r="H10" s="276">
        <v>116134330</v>
      </c>
      <c r="I10" s="216"/>
      <c r="J10" s="216">
        <f>F10-H10</f>
        <v>981381632</v>
      </c>
    </row>
    <row r="11" spans="1:10">
      <c r="B11" s="194" t="s">
        <v>110</v>
      </c>
      <c r="D11" s="194" t="s">
        <v>333</v>
      </c>
      <c r="F11" s="209">
        <v>428696668</v>
      </c>
      <c r="G11" s="209"/>
      <c r="H11" s="277">
        <v>28227854</v>
      </c>
      <c r="I11" s="209"/>
      <c r="J11" s="209">
        <f>F11-H11</f>
        <v>400468814</v>
      </c>
    </row>
    <row r="12" spans="1:10" ht="13.5" thickBot="1">
      <c r="F12" s="222">
        <f>SUM(F10:F11)</f>
        <v>1526212630</v>
      </c>
      <c r="G12" s="209"/>
      <c r="H12" s="222">
        <f>SUM(H10:H11)</f>
        <v>144362184</v>
      </c>
      <c r="I12" s="209"/>
      <c r="J12" s="222">
        <f>SUM(J10:J11)</f>
        <v>1381850446</v>
      </c>
    </row>
    <row r="13" spans="1:10" ht="13.5" thickTop="1">
      <c r="F13" s="209"/>
      <c r="G13" s="209"/>
      <c r="H13" s="209"/>
      <c r="I13" s="209"/>
      <c r="J13" s="209"/>
    </row>
    <row r="14" spans="1:10">
      <c r="F14" s="209"/>
      <c r="G14" s="209"/>
      <c r="H14" s="209"/>
      <c r="I14" s="209"/>
      <c r="J14" s="209"/>
    </row>
    <row r="15" spans="1:10">
      <c r="F15" s="209"/>
      <c r="G15" s="209"/>
      <c r="H15" s="209"/>
      <c r="I15" s="209"/>
      <c r="J15" s="209"/>
    </row>
    <row r="16" spans="1:10">
      <c r="F16" s="209"/>
      <c r="G16" s="209"/>
      <c r="H16" s="209"/>
      <c r="I16" s="209"/>
      <c r="J16" s="209"/>
    </row>
    <row r="17" spans="6:10">
      <c r="F17" s="209"/>
      <c r="G17" s="209"/>
      <c r="H17" s="209"/>
      <c r="I17" s="209"/>
      <c r="J17" s="209"/>
    </row>
    <row r="18" spans="6:10">
      <c r="F18" s="209"/>
      <c r="G18" s="209"/>
      <c r="H18" s="209"/>
      <c r="I18" s="209"/>
      <c r="J18" s="209"/>
    </row>
    <row r="19" spans="6:10">
      <c r="F19" s="209"/>
      <c r="G19" s="209"/>
      <c r="H19" s="209"/>
      <c r="I19" s="209"/>
      <c r="J19" s="209"/>
    </row>
    <row r="20" spans="6:10">
      <c r="F20" s="209"/>
      <c r="G20" s="209"/>
      <c r="H20" s="209"/>
      <c r="I20" s="209"/>
      <c r="J20" s="209"/>
    </row>
    <row r="21" spans="6:10">
      <c r="F21" s="209"/>
      <c r="G21" s="209"/>
      <c r="H21" s="209"/>
      <c r="I21" s="209"/>
      <c r="J21" s="209"/>
    </row>
    <row r="22" spans="6:10">
      <c r="F22" s="209"/>
      <c r="G22" s="209"/>
      <c r="H22" s="209"/>
      <c r="I22" s="209"/>
      <c r="J22" s="209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workbookViewId="0"/>
  </sheetViews>
  <sheetFormatPr defaultRowHeight="12.75"/>
  <cols>
    <col min="1" max="1" width="14.140625" style="194" bestFit="1" customWidth="1"/>
    <col min="2" max="2" width="1.42578125" style="194" customWidth="1"/>
    <col min="3" max="3" width="11.7109375" style="194" bestFit="1" customWidth="1"/>
    <col min="4" max="4" width="1.28515625" style="194" customWidth="1"/>
    <col min="5" max="5" width="9.28515625" style="194" bestFit="1" customWidth="1"/>
    <col min="6" max="6" width="1" style="194" customWidth="1"/>
    <col min="7" max="7" width="14.42578125" style="194" bestFit="1" customWidth="1"/>
    <col min="8" max="8" width="1" style="194" customWidth="1"/>
    <col min="9" max="9" width="14.42578125" style="194" bestFit="1" customWidth="1"/>
    <col min="10" max="10" width="1" style="194" customWidth="1"/>
    <col min="11" max="11" width="13.5703125" style="194" bestFit="1" customWidth="1"/>
    <col min="12" max="12" width="1.28515625" style="194" customWidth="1"/>
    <col min="13" max="13" width="11.7109375" style="194" bestFit="1" customWidth="1"/>
    <col min="14" max="14" width="13.42578125" style="194" bestFit="1" customWidth="1"/>
    <col min="15" max="16" width="16.5703125" style="194" bestFit="1" customWidth="1"/>
    <col min="17" max="18" width="13.42578125" style="194" bestFit="1" customWidth="1"/>
    <col min="19" max="19" width="10.7109375" style="194" bestFit="1" customWidth="1"/>
    <col min="20" max="20" width="13.42578125" style="194" bestFit="1" customWidth="1"/>
    <col min="21" max="16384" width="9.140625" style="194"/>
  </cols>
  <sheetData>
    <row r="1" spans="1:20" s="24" customForma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263"/>
      <c r="P1" s="263"/>
      <c r="Q1" s="263"/>
      <c r="R1" s="263"/>
      <c r="S1" s="263"/>
      <c r="T1" s="263"/>
    </row>
    <row r="2" spans="1:20" s="24" customFormat="1">
      <c r="A2" s="262" t="s">
        <v>357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20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O3" s="244"/>
    </row>
    <row r="4" spans="1:20">
      <c r="O4" s="246"/>
      <c r="P4" s="247"/>
    </row>
    <row r="5" spans="1:20">
      <c r="A5" s="244"/>
      <c r="B5" s="244"/>
      <c r="C5" s="245" t="s">
        <v>358</v>
      </c>
      <c r="D5" s="245"/>
      <c r="E5" s="245" t="s">
        <v>359</v>
      </c>
      <c r="F5" s="245"/>
      <c r="G5" s="245" t="s">
        <v>360</v>
      </c>
      <c r="H5" s="245"/>
      <c r="I5" s="245" t="s">
        <v>147</v>
      </c>
      <c r="J5" s="245"/>
      <c r="K5" s="245" t="s">
        <v>358</v>
      </c>
      <c r="L5" s="245"/>
      <c r="M5" s="245" t="s">
        <v>359</v>
      </c>
      <c r="O5" s="249"/>
      <c r="P5" s="247"/>
    </row>
    <row r="6" spans="1:20">
      <c r="A6" s="244"/>
      <c r="B6" s="244"/>
      <c r="C6" s="248" t="s">
        <v>361</v>
      </c>
      <c r="D6" s="245"/>
      <c r="E6" s="248" t="s">
        <v>362</v>
      </c>
      <c r="F6" s="245"/>
      <c r="G6" s="248" t="s">
        <v>363</v>
      </c>
      <c r="H6" s="245"/>
      <c r="I6" s="248">
        <v>123.1</v>
      </c>
      <c r="J6" s="245"/>
      <c r="K6" s="248" t="s">
        <v>364</v>
      </c>
      <c r="L6" s="245"/>
      <c r="M6" s="248" t="s">
        <v>365</v>
      </c>
      <c r="O6" s="249"/>
      <c r="P6" s="247"/>
    </row>
    <row r="7" spans="1:20">
      <c r="A7" s="274" t="s">
        <v>28</v>
      </c>
      <c r="B7" s="244"/>
      <c r="C7" s="250">
        <v>1560474.58</v>
      </c>
      <c r="D7" s="250"/>
      <c r="E7" s="250">
        <v>57083.33</v>
      </c>
      <c r="F7" s="250"/>
      <c r="G7" s="250">
        <v>2808164204.4300003</v>
      </c>
      <c r="H7" s="250"/>
      <c r="I7" s="250">
        <v>2380828521.04</v>
      </c>
      <c r="J7" s="250"/>
      <c r="K7" s="250">
        <v>434705971.70999998</v>
      </c>
      <c r="L7" s="250"/>
      <c r="M7" s="250">
        <v>15000000</v>
      </c>
      <c r="O7" s="249"/>
      <c r="P7" s="247"/>
    </row>
    <row r="8" spans="1:20">
      <c r="A8" s="274" t="s">
        <v>32</v>
      </c>
      <c r="B8" s="244"/>
      <c r="C8" s="251">
        <v>1562857.02</v>
      </c>
      <c r="D8" s="251"/>
      <c r="E8" s="251">
        <v>57084.08</v>
      </c>
      <c r="F8" s="251"/>
      <c r="G8" s="251">
        <v>2827908922.6800003</v>
      </c>
      <c r="H8" s="251"/>
      <c r="I8" s="251">
        <v>2394538897.77</v>
      </c>
      <c r="J8" s="251"/>
      <c r="K8" s="251">
        <v>428781330.95999998</v>
      </c>
      <c r="L8" s="251"/>
      <c r="M8" s="251">
        <v>15000000</v>
      </c>
      <c r="O8" s="249"/>
      <c r="P8" s="247"/>
    </row>
    <row r="9" spans="1:20">
      <c r="A9" s="252" t="s">
        <v>11</v>
      </c>
      <c r="B9" s="244"/>
      <c r="C9" s="251">
        <v>1498672.27</v>
      </c>
      <c r="D9" s="251"/>
      <c r="E9" s="251">
        <v>57083.33</v>
      </c>
      <c r="F9" s="251"/>
      <c r="G9" s="251">
        <v>2811687529.3500004</v>
      </c>
      <c r="H9" s="251"/>
      <c r="I9" s="251">
        <v>2373335657.6500001</v>
      </c>
      <c r="J9" s="251"/>
      <c r="K9" s="251">
        <v>429280686.94999999</v>
      </c>
      <c r="L9" s="251"/>
      <c r="M9" s="251">
        <v>15000000</v>
      </c>
      <c r="O9" s="249"/>
      <c r="P9" s="247"/>
    </row>
    <row r="10" spans="1:20">
      <c r="A10" s="252" t="s">
        <v>12</v>
      </c>
      <c r="B10" s="244"/>
      <c r="C10" s="251">
        <v>1593117.14</v>
      </c>
      <c r="D10" s="251"/>
      <c r="E10" s="251">
        <v>57083.33</v>
      </c>
      <c r="F10" s="251"/>
      <c r="G10" s="251">
        <v>2886588278.0500002</v>
      </c>
      <c r="H10" s="251"/>
      <c r="I10" s="251">
        <v>2429415902.77</v>
      </c>
      <c r="J10" s="251"/>
      <c r="K10" s="251">
        <v>409779806.83999997</v>
      </c>
      <c r="L10" s="251"/>
      <c r="M10" s="251">
        <v>15000000</v>
      </c>
      <c r="O10" s="246"/>
      <c r="P10" s="247"/>
    </row>
    <row r="11" spans="1:20">
      <c r="A11" s="252" t="s">
        <v>13</v>
      </c>
      <c r="B11" s="244"/>
      <c r="C11" s="251">
        <v>1643065.46</v>
      </c>
      <c r="D11" s="251"/>
      <c r="E11" s="251">
        <v>57084.05</v>
      </c>
      <c r="F11" s="251"/>
      <c r="G11" s="251">
        <v>2907101610.75</v>
      </c>
      <c r="H11" s="251"/>
      <c r="I11" s="251">
        <v>2437429393.0999999</v>
      </c>
      <c r="J11" s="251"/>
      <c r="K11" s="251">
        <v>405779155.06</v>
      </c>
      <c r="L11" s="251"/>
      <c r="M11" s="251">
        <v>15000000</v>
      </c>
      <c r="O11" s="249"/>
      <c r="P11" s="247"/>
    </row>
    <row r="12" spans="1:20">
      <c r="A12" s="252" t="s">
        <v>14</v>
      </c>
      <c r="B12" s="244"/>
      <c r="C12" s="251">
        <v>1741219.69</v>
      </c>
      <c r="D12" s="251"/>
      <c r="E12" s="251">
        <v>57083.33</v>
      </c>
      <c r="F12" s="251"/>
      <c r="G12" s="251">
        <v>2907046612.2700005</v>
      </c>
      <c r="H12" s="251"/>
      <c r="I12" s="251">
        <v>2446398874.02</v>
      </c>
      <c r="J12" s="251"/>
      <c r="K12" s="251">
        <v>408278422.61000001</v>
      </c>
      <c r="L12" s="251"/>
      <c r="M12" s="251">
        <v>15000000</v>
      </c>
      <c r="O12" s="249"/>
      <c r="P12" s="247"/>
    </row>
    <row r="13" spans="1:20">
      <c r="A13" s="252" t="s">
        <v>15</v>
      </c>
      <c r="B13" s="244"/>
      <c r="C13" s="251">
        <v>1713966.49</v>
      </c>
      <c r="D13" s="251"/>
      <c r="E13" s="251">
        <v>57083.33</v>
      </c>
      <c r="F13" s="251"/>
      <c r="G13" s="251">
        <v>2985505864.0000005</v>
      </c>
      <c r="H13" s="251"/>
      <c r="I13" s="251">
        <v>2513387937.1100001</v>
      </c>
      <c r="J13" s="251"/>
      <c r="K13" s="251">
        <v>409777763.76999998</v>
      </c>
      <c r="L13" s="251"/>
      <c r="M13" s="251">
        <v>15000000</v>
      </c>
      <c r="O13" s="249"/>
      <c r="P13" s="247"/>
    </row>
    <row r="14" spans="1:20">
      <c r="A14" s="252" t="s">
        <v>16</v>
      </c>
      <c r="B14" s="244"/>
      <c r="C14" s="251">
        <v>1885122.05</v>
      </c>
      <c r="D14" s="251"/>
      <c r="E14" s="251">
        <v>57084.039999999994</v>
      </c>
      <c r="F14" s="251"/>
      <c r="G14" s="251">
        <v>3035756995.2600007</v>
      </c>
      <c r="H14" s="251"/>
      <c r="I14" s="251">
        <v>2551802421.1199999</v>
      </c>
      <c r="J14" s="251"/>
      <c r="K14" s="251">
        <v>430777024.44999999</v>
      </c>
      <c r="L14" s="251"/>
      <c r="M14" s="251">
        <v>15000000</v>
      </c>
      <c r="O14" s="249"/>
      <c r="P14" s="247"/>
    </row>
    <row r="15" spans="1:20">
      <c r="A15" s="252" t="s">
        <v>17</v>
      </c>
      <c r="B15" s="244"/>
      <c r="C15" s="251">
        <v>2052279.14</v>
      </c>
      <c r="D15" s="251"/>
      <c r="E15" s="251">
        <v>57083.33</v>
      </c>
      <c r="F15" s="251"/>
      <c r="G15" s="251">
        <v>3033867637.5600004</v>
      </c>
      <c r="H15" s="251"/>
      <c r="I15" s="251">
        <v>2550487560.1999998</v>
      </c>
      <c r="J15" s="251"/>
      <c r="K15" s="251">
        <v>435776358.49000001</v>
      </c>
      <c r="L15" s="251"/>
      <c r="M15" s="251">
        <v>15000000</v>
      </c>
      <c r="O15" s="249"/>
      <c r="P15" s="247"/>
    </row>
    <row r="16" spans="1:20">
      <c r="A16" s="252" t="s">
        <v>18</v>
      </c>
      <c r="B16" s="244"/>
      <c r="C16" s="251">
        <v>2052361.2999999998</v>
      </c>
      <c r="D16" s="251"/>
      <c r="E16" s="251">
        <v>57083.33</v>
      </c>
      <c r="F16" s="251"/>
      <c r="G16" s="251">
        <v>3068254651.1300001</v>
      </c>
      <c r="H16" s="251"/>
      <c r="I16" s="251">
        <v>2561490483.0700002</v>
      </c>
      <c r="J16" s="251"/>
      <c r="K16" s="251">
        <v>430775689.13999999</v>
      </c>
      <c r="L16" s="251"/>
      <c r="M16" s="251">
        <v>15000000</v>
      </c>
      <c r="O16" s="201"/>
      <c r="P16" s="247"/>
    </row>
    <row r="17" spans="1:13">
      <c r="A17" s="252" t="s">
        <v>19</v>
      </c>
      <c r="B17" s="244"/>
      <c r="C17" s="251">
        <v>2054481.8099999998</v>
      </c>
      <c r="D17" s="251"/>
      <c r="E17" s="251">
        <v>57084.020000000004</v>
      </c>
      <c r="F17" s="251"/>
      <c r="G17" s="251">
        <v>3100086902.4300008</v>
      </c>
      <c r="H17" s="251"/>
      <c r="I17" s="251">
        <v>2587688645.3499999</v>
      </c>
      <c r="J17" s="251"/>
      <c r="K17" s="251">
        <v>453774939.58999997</v>
      </c>
      <c r="L17" s="251"/>
      <c r="M17" s="251">
        <v>15000000</v>
      </c>
    </row>
    <row r="18" spans="1:13">
      <c r="A18" s="252" t="s">
        <v>20</v>
      </c>
      <c r="B18" s="244"/>
      <c r="C18" s="251">
        <v>2069686.44</v>
      </c>
      <c r="D18" s="251"/>
      <c r="E18" s="251">
        <v>57083.33</v>
      </c>
      <c r="F18" s="251"/>
      <c r="G18" s="251">
        <v>3090424657.9100008</v>
      </c>
      <c r="H18" s="251"/>
      <c r="I18" s="251">
        <v>2578668016.77</v>
      </c>
      <c r="J18" s="251"/>
      <c r="K18" s="251">
        <v>534274263.00999999</v>
      </c>
      <c r="L18" s="251"/>
      <c r="M18" s="251">
        <v>15000000</v>
      </c>
    </row>
    <row r="19" spans="1:13">
      <c r="A19" s="252" t="s">
        <v>21</v>
      </c>
      <c r="B19" s="244"/>
      <c r="C19" s="253">
        <v>2081124.01</v>
      </c>
      <c r="D19" s="254"/>
      <c r="E19" s="253">
        <v>57083.33</v>
      </c>
      <c r="F19" s="251"/>
      <c r="G19" s="251">
        <v>3119040892.7000008</v>
      </c>
      <c r="H19" s="251"/>
      <c r="I19" s="251">
        <v>2590283229.6700001</v>
      </c>
      <c r="J19" s="251"/>
      <c r="K19" s="251">
        <v>508273506.43000001</v>
      </c>
      <c r="L19" s="251"/>
      <c r="M19" s="251">
        <v>15000000</v>
      </c>
    </row>
    <row r="20" spans="1:13" ht="13.5" thickBot="1">
      <c r="A20" s="275" t="s">
        <v>382</v>
      </c>
      <c r="B20" s="244"/>
      <c r="C20" s="255">
        <f>SUM(C8:C19)</f>
        <v>21947952.820000004</v>
      </c>
      <c r="D20" s="250"/>
      <c r="E20" s="255">
        <f>SUM(E8:E19)</f>
        <v>685002.83</v>
      </c>
      <c r="F20" s="244"/>
      <c r="G20" s="244"/>
      <c r="H20" s="244"/>
      <c r="I20" s="244"/>
      <c r="J20" s="244"/>
      <c r="K20" s="244"/>
      <c r="L20" s="244"/>
      <c r="M20" s="244"/>
    </row>
    <row r="21" spans="1:13" ht="13.5" thickTop="1">
      <c r="A21" s="256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3" ht="13.5" thickBot="1">
      <c r="A22" s="256" t="s">
        <v>366</v>
      </c>
      <c r="B22" s="244"/>
      <c r="C22" s="244"/>
      <c r="D22" s="244"/>
      <c r="E22" s="244"/>
      <c r="F22" s="244"/>
      <c r="G22" s="255">
        <f>AVERAGE(G7:G19)</f>
        <v>2967802673.7323079</v>
      </c>
      <c r="H22" s="250"/>
      <c r="I22" s="255">
        <f>AVERAGE(I7:I19)</f>
        <v>2491981195.3569231</v>
      </c>
      <c r="J22" s="250"/>
      <c r="K22" s="255">
        <f>AVERAGE(K7:K19)</f>
        <v>440002686.07769227</v>
      </c>
      <c r="L22" s="250"/>
      <c r="M22" s="255">
        <f>AVERAGE(M7:M19)</f>
        <v>15000000</v>
      </c>
    </row>
    <row r="23" spans="1:13" ht="13.5" thickTop="1">
      <c r="A23" s="257"/>
    </row>
    <row r="24" spans="1:13">
      <c r="A24" s="257" t="s">
        <v>367</v>
      </c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/>
  </sheetViews>
  <sheetFormatPr defaultRowHeight="12.75"/>
  <cols>
    <col min="1" max="1" width="9" style="194" customWidth="1"/>
    <col min="2" max="2" width="2.7109375" style="194" customWidth="1"/>
    <col min="3" max="3" width="16.42578125" style="194" customWidth="1"/>
    <col min="4" max="4" width="9.140625" style="194"/>
    <col min="5" max="5" width="14" style="205" bestFit="1" customWidth="1"/>
    <col min="6" max="16384" width="9.140625" style="194"/>
  </cols>
  <sheetData>
    <row r="1" spans="1:5">
      <c r="A1" s="4" t="s">
        <v>0</v>
      </c>
      <c r="B1" s="4"/>
      <c r="C1" s="4"/>
      <c r="D1" s="4"/>
      <c r="E1" s="258"/>
    </row>
    <row r="2" spans="1:5">
      <c r="A2" s="4" t="s">
        <v>64</v>
      </c>
      <c r="B2" s="4"/>
      <c r="C2" s="4"/>
      <c r="D2" s="4"/>
      <c r="E2" s="258"/>
    </row>
    <row r="3" spans="1:5">
      <c r="A3" s="4" t="s">
        <v>376</v>
      </c>
      <c r="B3" s="4"/>
      <c r="C3" s="4"/>
      <c r="D3" s="4"/>
      <c r="E3" s="258"/>
    </row>
    <row r="4" spans="1:5">
      <c r="A4" s="4" t="s">
        <v>79</v>
      </c>
      <c r="B4" s="4"/>
      <c r="C4" s="4"/>
      <c r="D4" s="4"/>
      <c r="E4" s="258"/>
    </row>
    <row r="7" spans="1:5">
      <c r="A7" s="259">
        <v>4540.0079999999998</v>
      </c>
      <c r="B7" s="194" t="s">
        <v>368</v>
      </c>
    </row>
    <row r="8" spans="1:5">
      <c r="C8" s="194" t="s">
        <v>369</v>
      </c>
      <c r="E8" s="207">
        <v>-1704061.5</v>
      </c>
    </row>
    <row r="9" spans="1:5">
      <c r="C9" s="194" t="s">
        <v>69</v>
      </c>
      <c r="E9" s="205">
        <v>-14918.970000000003</v>
      </c>
    </row>
    <row r="10" spans="1:5" ht="13.5" thickBot="1">
      <c r="E10" s="208">
        <f>SUM(E8:E9)</f>
        <v>-1718980.47</v>
      </c>
    </row>
    <row r="11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defaultRowHeight="12.75"/>
  <cols>
    <col min="1" max="16384" width="9.140625" style="2"/>
  </cols>
  <sheetData>
    <row r="1" spans="1:9" ht="15.7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5.75">
      <c r="A2" s="3" t="s">
        <v>64</v>
      </c>
      <c r="B2" s="4"/>
      <c r="C2" s="4"/>
      <c r="D2" s="4"/>
      <c r="E2" s="4"/>
      <c r="F2" s="4"/>
      <c r="G2" s="4"/>
      <c r="H2" s="4"/>
      <c r="I2" s="4"/>
    </row>
    <row r="3" spans="1:9" ht="15.75">
      <c r="A3" s="3" t="s">
        <v>788</v>
      </c>
      <c r="B3" s="4"/>
      <c r="C3" s="4"/>
      <c r="D3" s="4"/>
      <c r="E3" s="4"/>
      <c r="F3" s="4"/>
      <c r="G3" s="4"/>
      <c r="H3" s="4"/>
      <c r="I3" s="4"/>
    </row>
    <row r="9" spans="1:9" ht="15">
      <c r="A9" s="521" t="s">
        <v>789</v>
      </c>
      <c r="B9" s="23"/>
      <c r="C9" s="23"/>
      <c r="D9" s="23"/>
      <c r="E9" s="23"/>
      <c r="F9" s="23"/>
      <c r="G9" s="23"/>
      <c r="H9" s="23"/>
      <c r="I9" s="23"/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workbookViewId="0"/>
  </sheetViews>
  <sheetFormatPr defaultRowHeight="12.75"/>
  <cols>
    <col min="1" max="1" width="2.7109375" style="194" customWidth="1"/>
    <col min="2" max="2" width="6.85546875" style="194" bestFit="1" customWidth="1"/>
    <col min="3" max="3" width="8" style="194" bestFit="1" customWidth="1"/>
    <col min="4" max="5" width="2.7109375" style="194" customWidth="1"/>
    <col min="6" max="6" width="68.85546875" style="194" customWidth="1"/>
    <col min="7" max="7" width="2.7109375" style="194" customWidth="1"/>
    <col min="8" max="8" width="11.7109375" style="194" bestFit="1" customWidth="1"/>
    <col min="9" max="9" width="2.7109375" style="194" customWidth="1"/>
    <col min="10" max="10" width="10.7109375" style="209" bestFit="1" customWidth="1"/>
    <col min="11" max="11" width="2.7109375" style="209" customWidth="1"/>
    <col min="12" max="17" width="9.140625" style="209"/>
    <col min="18" max="16384" width="9.140625" style="194"/>
  </cols>
  <sheetData>
    <row r="1" spans="1:10" s="209" customFormat="1">
      <c r="A1" s="4" t="s">
        <v>0</v>
      </c>
      <c r="B1" s="4"/>
      <c r="C1" s="4"/>
      <c r="D1" s="4"/>
      <c r="E1" s="4"/>
      <c r="F1" s="4"/>
      <c r="G1" s="4"/>
      <c r="H1" s="4"/>
      <c r="I1" s="4"/>
      <c r="J1" s="43"/>
    </row>
    <row r="2" spans="1:10" s="209" customFormat="1">
      <c r="A2" s="4" t="s">
        <v>64</v>
      </c>
      <c r="B2" s="4"/>
      <c r="C2" s="4"/>
      <c r="D2" s="4"/>
      <c r="E2" s="4"/>
      <c r="F2" s="4"/>
      <c r="G2" s="4"/>
      <c r="H2" s="4"/>
      <c r="I2" s="4"/>
      <c r="J2" s="43"/>
    </row>
    <row r="3" spans="1:10" s="209" customFormat="1">
      <c r="A3" s="4" t="s">
        <v>370</v>
      </c>
      <c r="B3" s="4"/>
      <c r="C3" s="4"/>
      <c r="D3" s="4"/>
      <c r="E3" s="4"/>
      <c r="F3" s="4"/>
      <c r="G3" s="4"/>
      <c r="H3" s="4"/>
      <c r="I3" s="4"/>
      <c r="J3" s="43"/>
    </row>
    <row r="4" spans="1:10" s="209" customFormat="1">
      <c r="A4" s="4" t="str">
        <f>'Other O&amp;M Expenses'!A4</f>
        <v>Twelve Months Ended December 31, 2014</v>
      </c>
      <c r="B4" s="4"/>
      <c r="C4" s="4"/>
      <c r="D4" s="4"/>
      <c r="E4" s="4"/>
      <c r="F4" s="4"/>
      <c r="G4" s="4"/>
      <c r="H4" s="4"/>
      <c r="I4" s="4"/>
      <c r="J4" s="43"/>
    </row>
    <row r="5" spans="1:10" s="209" customFormat="1">
      <c r="A5" s="4"/>
      <c r="B5" s="4"/>
      <c r="C5" s="4"/>
      <c r="D5" s="4"/>
      <c r="E5" s="4"/>
      <c r="F5" s="4"/>
      <c r="G5" s="4"/>
      <c r="H5" s="4"/>
      <c r="I5" s="4"/>
      <c r="J5" s="43"/>
    </row>
    <row r="7" spans="1:10" s="209" customFormat="1">
      <c r="A7" s="194"/>
      <c r="B7" s="194"/>
      <c r="C7" s="194"/>
      <c r="D7" s="194"/>
      <c r="E7" s="194"/>
      <c r="F7" s="194"/>
      <c r="G7" s="194"/>
      <c r="H7" s="210" t="s">
        <v>251</v>
      </c>
      <c r="I7" s="194"/>
      <c r="J7" s="211" t="s">
        <v>10</v>
      </c>
    </row>
    <row r="8" spans="1:10" s="209" customFormat="1">
      <c r="A8" s="212" t="s">
        <v>299</v>
      </c>
      <c r="B8" s="212"/>
      <c r="C8" s="212"/>
      <c r="D8" s="212"/>
      <c r="E8" s="212"/>
      <c r="F8" s="212"/>
      <c r="G8" s="194"/>
      <c r="H8" s="213" t="s">
        <v>39</v>
      </c>
      <c r="I8" s="194"/>
      <c r="J8" s="214" t="s">
        <v>300</v>
      </c>
    </row>
    <row r="9" spans="1:10" s="209" customFormat="1">
      <c r="A9" s="194"/>
      <c r="B9" s="194"/>
      <c r="C9" s="194"/>
      <c r="D9" s="194"/>
      <c r="E9" s="194"/>
      <c r="F9" s="194"/>
      <c r="G9" s="194"/>
      <c r="H9" s="194"/>
      <c r="I9" s="194"/>
      <c r="J9" s="194"/>
    </row>
    <row r="10" spans="1:10" s="209" customFormat="1">
      <c r="A10" s="194"/>
      <c r="B10" s="194"/>
      <c r="D10" s="194" t="s">
        <v>301</v>
      </c>
      <c r="E10" s="194" t="s">
        <v>302</v>
      </c>
      <c r="F10" s="194"/>
      <c r="G10" s="194"/>
      <c r="H10" s="215" t="s">
        <v>303</v>
      </c>
      <c r="I10" s="194"/>
    </row>
    <row r="11" spans="1:10" s="209" customFormat="1">
      <c r="A11" s="194"/>
      <c r="B11" s="194"/>
      <c r="C11" s="194"/>
      <c r="D11" s="194"/>
      <c r="E11" s="194"/>
      <c r="F11" s="194" t="s">
        <v>304</v>
      </c>
      <c r="G11" s="194"/>
      <c r="H11" s="194"/>
      <c r="I11" s="194"/>
      <c r="J11" s="216">
        <v>176217</v>
      </c>
    </row>
    <row r="12" spans="1:10" s="209" customFormat="1">
      <c r="A12" s="194"/>
      <c r="B12" s="194"/>
      <c r="C12" s="194"/>
      <c r="D12" s="194"/>
      <c r="E12" s="194"/>
      <c r="F12" s="194" t="s">
        <v>305</v>
      </c>
      <c r="G12" s="194"/>
      <c r="H12" s="194"/>
      <c r="I12" s="194"/>
      <c r="J12" s="209">
        <v>105678</v>
      </c>
    </row>
    <row r="13" spans="1:10" s="209" customFormat="1">
      <c r="A13" s="194"/>
      <c r="B13" s="194"/>
      <c r="C13" s="194"/>
      <c r="D13" s="194"/>
      <c r="E13" s="194"/>
      <c r="F13" s="194" t="s">
        <v>306</v>
      </c>
      <c r="G13" s="194"/>
      <c r="H13" s="194"/>
      <c r="I13" s="194"/>
      <c r="J13" s="209">
        <v>19757</v>
      </c>
    </row>
    <row r="14" spans="1:10" s="209" customFormat="1">
      <c r="A14" s="194"/>
      <c r="B14" s="194"/>
      <c r="C14" s="194"/>
      <c r="D14" s="194"/>
      <c r="E14" s="194"/>
      <c r="F14" s="194" t="s">
        <v>113</v>
      </c>
      <c r="G14" s="194"/>
      <c r="H14" s="194"/>
      <c r="I14" s="194"/>
      <c r="J14" s="209">
        <v>2075628</v>
      </c>
    </row>
    <row r="15" spans="1:10" s="209" customFormat="1">
      <c r="A15" s="194"/>
      <c r="B15" s="194"/>
      <c r="C15" s="194"/>
      <c r="D15" s="194"/>
      <c r="E15" s="194"/>
      <c r="F15" s="194"/>
      <c r="G15" s="194"/>
      <c r="H15" s="194"/>
      <c r="I15" s="194"/>
      <c r="J15" s="217">
        <f>SUM(J11:J14)</f>
        <v>2377280</v>
      </c>
    </row>
    <row r="16" spans="1:10" s="209" customFormat="1">
      <c r="A16" s="194"/>
      <c r="B16" s="194"/>
      <c r="C16" s="194"/>
      <c r="D16" s="194"/>
      <c r="E16" s="194"/>
      <c r="F16" s="194" t="s">
        <v>238</v>
      </c>
      <c r="G16" s="194"/>
      <c r="H16" s="194"/>
      <c r="I16" s="194"/>
      <c r="J16" s="194"/>
    </row>
    <row r="17" spans="1:10" s="209" customFormat="1">
      <c r="A17" s="194"/>
      <c r="B17" s="194"/>
      <c r="C17" s="194"/>
      <c r="D17" s="194"/>
      <c r="E17" s="194"/>
      <c r="F17" s="194" t="s">
        <v>307</v>
      </c>
      <c r="G17" s="194"/>
      <c r="H17" s="194"/>
      <c r="I17" s="194"/>
      <c r="J17" s="209">
        <f>J13</f>
        <v>19757</v>
      </c>
    </row>
    <row r="19" spans="1:10" s="209" customFormat="1" ht="13.5" thickBot="1">
      <c r="A19" s="194"/>
      <c r="B19" s="260" t="s">
        <v>375</v>
      </c>
      <c r="C19" s="260" t="s">
        <v>371</v>
      </c>
      <c r="D19" s="194"/>
      <c r="E19" s="194" t="s">
        <v>308</v>
      </c>
      <c r="F19" s="194"/>
      <c r="G19" s="194"/>
      <c r="H19" s="194"/>
      <c r="I19" s="194"/>
      <c r="J19" s="218">
        <f>J15-J17</f>
        <v>2357523</v>
      </c>
    </row>
    <row r="20" spans="1:10" s="209" customFormat="1" ht="13.5" thickTop="1">
      <c r="A20" s="194"/>
      <c r="B20" s="194"/>
      <c r="C20" s="194"/>
      <c r="D20" s="194"/>
      <c r="E20" s="194"/>
      <c r="F20" s="194"/>
      <c r="G20" s="194"/>
      <c r="H20" s="194"/>
      <c r="I20" s="194"/>
      <c r="J20" s="219"/>
    </row>
    <row r="21" spans="1:10" s="209" customFormat="1">
      <c r="A21" s="194"/>
      <c r="B21" s="260" t="s">
        <v>375</v>
      </c>
      <c r="C21" s="260" t="s">
        <v>372</v>
      </c>
      <c r="D21" s="194" t="s">
        <v>309</v>
      </c>
      <c r="E21" s="194" t="s">
        <v>310</v>
      </c>
      <c r="F21" s="194"/>
      <c r="G21" s="194"/>
      <c r="H21" s="215" t="s">
        <v>303</v>
      </c>
      <c r="I21" s="194"/>
      <c r="J21" s="209">
        <v>0</v>
      </c>
    </row>
    <row r="22" spans="1:10" s="209" customFormat="1">
      <c r="A22" s="194"/>
      <c r="B22" s="194"/>
      <c r="C22" s="194"/>
      <c r="D22" s="194"/>
      <c r="E22" s="194"/>
      <c r="F22" s="194"/>
      <c r="G22" s="194"/>
      <c r="H22" s="194"/>
      <c r="I22" s="194"/>
      <c r="J22" s="219"/>
    </row>
    <row r="23" spans="1:10" s="209" customFormat="1">
      <c r="A23" s="194"/>
      <c r="B23" s="260" t="s">
        <v>375</v>
      </c>
      <c r="C23" s="260" t="s">
        <v>373</v>
      </c>
      <c r="D23" s="194" t="s">
        <v>311</v>
      </c>
      <c r="E23" s="194" t="s">
        <v>312</v>
      </c>
      <c r="F23" s="194"/>
      <c r="G23" s="194"/>
      <c r="H23" s="194"/>
      <c r="I23" s="194"/>
      <c r="J23" s="289">
        <v>0</v>
      </c>
    </row>
    <row r="25" spans="1:10" s="209" customFormat="1">
      <c r="A25" s="194"/>
      <c r="B25" s="260" t="s">
        <v>375</v>
      </c>
      <c r="C25" s="260" t="s">
        <v>374</v>
      </c>
      <c r="D25" s="194" t="s">
        <v>313</v>
      </c>
      <c r="E25" s="194" t="s">
        <v>314</v>
      </c>
      <c r="F25" s="194"/>
      <c r="G25" s="194"/>
      <c r="H25" s="194"/>
      <c r="I25" s="194"/>
      <c r="J25" s="289">
        <v>0</v>
      </c>
    </row>
    <row r="27" spans="1:10" s="209" customFormat="1" ht="13.5" thickBot="1">
      <c r="A27" s="194" t="s">
        <v>315</v>
      </c>
      <c r="B27" s="194"/>
      <c r="C27" s="194"/>
      <c r="D27" s="194"/>
      <c r="E27" s="194"/>
      <c r="F27" s="194"/>
      <c r="G27" s="194"/>
      <c r="H27" s="194"/>
      <c r="I27" s="194"/>
      <c r="J27" s="220">
        <f>J19-J21-J23-J25</f>
        <v>2357523</v>
      </c>
    </row>
    <row r="28" spans="1:10" s="209" customFormat="1" ht="13.5" thickTop="1">
      <c r="A28" s="194"/>
      <c r="B28" s="194"/>
      <c r="C28" s="194"/>
      <c r="D28" s="194"/>
      <c r="E28" s="194"/>
      <c r="F28" s="194"/>
      <c r="G28" s="194"/>
      <c r="H28" s="194"/>
      <c r="I28" s="194"/>
    </row>
    <row r="30" spans="1:10">
      <c r="A30" s="194" t="s">
        <v>316</v>
      </c>
    </row>
    <row r="31" spans="1:10">
      <c r="A31" s="194" t="s">
        <v>317</v>
      </c>
    </row>
  </sheetData>
  <printOptions horizontalCentered="1"/>
  <pageMargins left="0.17" right="0.17" top="1" bottom="0.31" header="0.3" footer="0.3"/>
  <pageSetup orientation="landscape" r:id="rId1"/>
  <headerFooter>
    <oddFooter>&amp;C&amp;F -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zoomScale="90" zoomScaleNormal="90" zoomScaleSheetLayoutView="70" workbookViewId="0"/>
  </sheetViews>
  <sheetFormatPr defaultRowHeight="15"/>
  <cols>
    <col min="1" max="1" width="26.140625" style="233" customWidth="1"/>
    <col min="2" max="2" width="17.140625" style="233" customWidth="1"/>
    <col min="3" max="7" width="16" style="233" customWidth="1"/>
    <col min="8" max="8" width="10.7109375" style="233" bestFit="1" customWidth="1"/>
    <col min="9" max="9" width="18.5703125" style="233" bestFit="1" customWidth="1"/>
    <col min="10" max="10" width="12.85546875" style="233" bestFit="1" customWidth="1"/>
    <col min="11" max="11" width="2" style="233" customWidth="1"/>
    <col min="12" max="12" width="14.140625" style="233" bestFit="1" customWidth="1"/>
    <col min="13" max="13" width="12.85546875" style="233" bestFit="1" customWidth="1"/>
    <col min="14" max="14" width="1.5703125" style="233" customWidth="1"/>
    <col min="15" max="15" width="16.85546875" style="233" bestFit="1" customWidth="1"/>
    <col min="16" max="16" width="15.42578125" style="233" bestFit="1" customWidth="1"/>
    <col min="17" max="17" width="9.140625" style="233"/>
    <col min="18" max="18" width="14.140625" style="233" bestFit="1" customWidth="1"/>
    <col min="19" max="19" width="12.85546875" style="233" bestFit="1" customWidth="1"/>
    <col min="20" max="16384" width="9.140625" style="233"/>
  </cols>
  <sheetData>
    <row r="1" spans="1:24" ht="15.75">
      <c r="B1" s="223" t="s">
        <v>0</v>
      </c>
      <c r="C1" s="223"/>
      <c r="D1" s="223"/>
      <c r="E1" s="223"/>
      <c r="F1" s="224"/>
      <c r="G1" s="224"/>
      <c r="H1" s="225"/>
      <c r="I1" s="225"/>
      <c r="J1" s="225"/>
    </row>
    <row r="2" spans="1:24" ht="15.75">
      <c r="B2" s="223" t="s">
        <v>334</v>
      </c>
      <c r="C2" s="223"/>
      <c r="D2" s="223"/>
      <c r="E2" s="223"/>
      <c r="F2" s="224"/>
      <c r="G2" s="224"/>
      <c r="H2" s="225"/>
      <c r="I2" s="225"/>
      <c r="J2" s="225"/>
    </row>
    <row r="3" spans="1:24" ht="15.75">
      <c r="B3" s="264" t="s">
        <v>380</v>
      </c>
      <c r="C3" s="223"/>
      <c r="D3" s="223"/>
      <c r="E3" s="223"/>
      <c r="F3" s="224"/>
      <c r="G3" s="224"/>
      <c r="H3" s="225"/>
      <c r="I3" s="225"/>
      <c r="J3" s="225"/>
    </row>
    <row r="4" spans="1:24" ht="15.75">
      <c r="B4" s="223" t="s">
        <v>335</v>
      </c>
      <c r="C4" s="223"/>
      <c r="D4" s="223"/>
      <c r="E4" s="223"/>
      <c r="F4" s="224"/>
      <c r="G4" s="224"/>
      <c r="H4" s="225"/>
      <c r="I4" s="225"/>
      <c r="J4" s="225"/>
    </row>
    <row r="5" spans="1:24" ht="15.75">
      <c r="B5" s="223" t="s">
        <v>336</v>
      </c>
      <c r="C5" s="223"/>
      <c r="D5" s="223"/>
      <c r="E5" s="223"/>
      <c r="F5" s="224"/>
      <c r="G5" s="224"/>
      <c r="H5" s="225"/>
      <c r="I5" s="225"/>
      <c r="J5" s="225"/>
    </row>
    <row r="6" spans="1:24" ht="15.75">
      <c r="A6" s="226"/>
      <c r="B6" s="226"/>
      <c r="C6" s="226"/>
      <c r="D6" s="226"/>
      <c r="E6" s="226"/>
      <c r="F6" s="226"/>
      <c r="G6" s="226"/>
      <c r="H6" s="225"/>
      <c r="I6" s="225"/>
      <c r="J6" s="225"/>
    </row>
    <row r="7" spans="1:24" ht="15.75">
      <c r="A7" s="225"/>
      <c r="B7" s="225"/>
      <c r="C7" s="225"/>
      <c r="D7" s="225"/>
      <c r="E7" s="225"/>
      <c r="F7" s="225"/>
      <c r="G7" s="225"/>
      <c r="H7" s="225"/>
      <c r="I7" s="225"/>
      <c r="J7" s="225"/>
    </row>
    <row r="8" spans="1:24"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</row>
    <row r="9" spans="1:24">
      <c r="A9" s="233" t="s">
        <v>337</v>
      </c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</row>
    <row r="10" spans="1:24">
      <c r="F10" s="265"/>
      <c r="G10" s="265"/>
      <c r="H10" s="265"/>
      <c r="I10" s="265"/>
      <c r="J10" s="265"/>
      <c r="K10" s="265"/>
      <c r="L10" s="266"/>
      <c r="M10" s="265"/>
      <c r="N10" s="265"/>
      <c r="O10" s="266"/>
      <c r="P10" s="265"/>
      <c r="Q10" s="265"/>
      <c r="R10" s="266"/>
      <c r="S10" s="265"/>
      <c r="T10" s="265"/>
      <c r="U10" s="265"/>
      <c r="V10" s="265"/>
      <c r="W10" s="265"/>
      <c r="X10" s="265"/>
    </row>
    <row r="11" spans="1:24">
      <c r="A11" s="233" t="s">
        <v>338</v>
      </c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</row>
    <row r="12" spans="1:24" ht="15.75">
      <c r="C12" s="264" t="s">
        <v>381</v>
      </c>
      <c r="F12" s="227"/>
      <c r="G12" s="265"/>
      <c r="H12" s="265"/>
      <c r="I12" s="227"/>
      <c r="J12" s="265"/>
      <c r="K12" s="265"/>
      <c r="L12" s="267"/>
      <c r="M12" s="267"/>
      <c r="N12" s="267"/>
      <c r="O12" s="267"/>
      <c r="P12" s="267"/>
      <c r="Q12" s="265"/>
      <c r="R12" s="267"/>
      <c r="S12" s="267"/>
      <c r="T12" s="265"/>
      <c r="U12" s="265"/>
      <c r="V12" s="265"/>
      <c r="W12" s="265"/>
      <c r="X12" s="265"/>
    </row>
    <row r="13" spans="1:24">
      <c r="B13" s="233" t="s">
        <v>339</v>
      </c>
      <c r="C13" s="233" t="s">
        <v>340</v>
      </c>
      <c r="F13" s="265"/>
      <c r="G13" s="265"/>
      <c r="H13" s="265"/>
      <c r="I13" s="265"/>
      <c r="J13" s="265"/>
      <c r="K13" s="265"/>
      <c r="L13" s="267"/>
      <c r="M13" s="267"/>
      <c r="N13" s="267"/>
      <c r="O13" s="267"/>
      <c r="P13" s="267"/>
      <c r="Q13" s="265"/>
      <c r="R13" s="267"/>
      <c r="S13" s="267"/>
      <c r="T13" s="265"/>
      <c r="U13" s="265"/>
      <c r="V13" s="265"/>
      <c r="W13" s="265"/>
      <c r="X13" s="265"/>
    </row>
    <row r="14" spans="1:24">
      <c r="A14" s="233" t="s">
        <v>237</v>
      </c>
      <c r="B14" s="268">
        <v>0</v>
      </c>
      <c r="C14" s="269">
        <v>5.3433799999999997E-2</v>
      </c>
      <c r="D14" s="270">
        <f>$B14*C14</f>
        <v>0</v>
      </c>
      <c r="E14" s="268"/>
      <c r="F14" s="267"/>
      <c r="G14" s="267"/>
      <c r="H14" s="267"/>
      <c r="I14" s="267"/>
      <c r="J14" s="267"/>
      <c r="K14" s="265"/>
      <c r="L14" s="267"/>
      <c r="M14" s="267"/>
      <c r="N14" s="267"/>
      <c r="O14" s="267"/>
      <c r="P14" s="267"/>
      <c r="Q14" s="265"/>
      <c r="R14" s="267"/>
      <c r="S14" s="267"/>
      <c r="T14" s="265"/>
      <c r="U14" s="265"/>
      <c r="V14" s="265"/>
      <c r="W14" s="265"/>
      <c r="X14" s="265"/>
    </row>
    <row r="15" spans="1:24">
      <c r="A15" s="233" t="s">
        <v>236</v>
      </c>
      <c r="B15" s="268">
        <v>4.53E-2</v>
      </c>
      <c r="C15" s="269">
        <v>0.72227925000000004</v>
      </c>
      <c r="D15" s="270">
        <f>$B15*C15</f>
        <v>3.2719250025E-2</v>
      </c>
      <c r="E15" s="268"/>
      <c r="F15" s="267"/>
      <c r="G15" s="267"/>
      <c r="H15" s="267"/>
      <c r="I15" s="267"/>
      <c r="J15" s="267"/>
      <c r="K15" s="265"/>
      <c r="L15" s="267"/>
      <c r="M15" s="267"/>
      <c r="N15" s="267"/>
      <c r="O15" s="267"/>
      <c r="P15" s="267"/>
      <c r="Q15" s="265"/>
      <c r="R15" s="265"/>
      <c r="S15" s="267"/>
      <c r="T15" s="265"/>
      <c r="U15" s="265"/>
      <c r="V15" s="265"/>
      <c r="W15" s="265"/>
      <c r="X15" s="265"/>
    </row>
    <row r="16" spans="1:24">
      <c r="A16" s="233" t="s">
        <v>67</v>
      </c>
      <c r="B16" s="268">
        <v>6.7500000000000004E-2</v>
      </c>
      <c r="C16" s="269">
        <v>0.22428695000000001</v>
      </c>
      <c r="D16" s="271">
        <f>$B16*C16</f>
        <v>1.5139369125000001E-2</v>
      </c>
      <c r="E16" s="268"/>
      <c r="F16" s="267"/>
      <c r="G16" s="267"/>
      <c r="H16" s="267"/>
      <c r="I16" s="267"/>
      <c r="J16" s="267"/>
      <c r="K16" s="265"/>
      <c r="L16" s="270"/>
      <c r="M16" s="270"/>
    </row>
    <row r="17" spans="1:19">
      <c r="C17" s="270"/>
      <c r="D17" s="270">
        <f>SUM(D14:D16)</f>
        <v>4.7858619150000004E-2</v>
      </c>
      <c r="F17" s="267"/>
      <c r="G17" s="267"/>
      <c r="H17" s="267"/>
      <c r="I17" s="267"/>
      <c r="J17" s="267"/>
      <c r="K17" s="265"/>
      <c r="L17" s="270"/>
      <c r="M17" s="270"/>
    </row>
    <row r="18" spans="1:19">
      <c r="I18" s="270"/>
      <c r="J18" s="270"/>
      <c r="K18" s="270"/>
    </row>
    <row r="19" spans="1:19">
      <c r="I19" s="270"/>
      <c r="J19" s="270"/>
      <c r="K19" s="270"/>
    </row>
    <row r="20" spans="1:19" ht="20.25">
      <c r="L20" s="228"/>
      <c r="M20" s="229"/>
      <c r="N20" s="229"/>
      <c r="O20" s="229"/>
      <c r="Q20" s="230"/>
      <c r="R20" s="231"/>
      <c r="S20" s="232"/>
    </row>
    <row r="21" spans="1:19" ht="20.25">
      <c r="L21" s="228"/>
      <c r="M21" s="229"/>
      <c r="N21" s="229"/>
      <c r="O21" s="229"/>
      <c r="Q21" s="230"/>
      <c r="R21" s="231"/>
      <c r="S21" s="232"/>
    </row>
    <row r="22" spans="1:19" ht="20.25">
      <c r="A22" s="234" t="s">
        <v>341</v>
      </c>
      <c r="B22" s="228" t="s">
        <v>342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  <c r="N22" s="229"/>
      <c r="O22" s="229"/>
      <c r="Q22" s="230"/>
      <c r="R22" s="231"/>
      <c r="S22" s="232"/>
    </row>
    <row r="23" spans="1:19" ht="20.25">
      <c r="A23" s="234"/>
      <c r="B23" s="228" t="s">
        <v>343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  <c r="N23" s="229"/>
      <c r="O23" s="229"/>
      <c r="Q23" s="230"/>
      <c r="R23" s="231"/>
      <c r="S23" s="232"/>
    </row>
    <row r="24" spans="1:19" ht="20.25">
      <c r="A24" s="234"/>
      <c r="B24" s="228" t="s">
        <v>344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9"/>
      <c r="N24" s="229"/>
      <c r="O24" s="229"/>
      <c r="Q24" s="230"/>
      <c r="R24" s="231"/>
      <c r="S24" s="232"/>
    </row>
    <row r="25" spans="1:19" ht="20.25">
      <c r="A25" s="234"/>
      <c r="B25" s="228" t="s">
        <v>345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9"/>
      <c r="N25" s="229"/>
      <c r="O25" s="229"/>
      <c r="Q25" s="230"/>
      <c r="R25" s="231"/>
      <c r="S25" s="232"/>
    </row>
    <row r="26" spans="1:19" ht="20.25">
      <c r="A26" s="234"/>
      <c r="B26" s="228" t="s">
        <v>346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9"/>
      <c r="N26" s="229"/>
      <c r="O26" s="229"/>
      <c r="Q26" s="230"/>
      <c r="R26" s="231"/>
      <c r="S26" s="232"/>
    </row>
    <row r="27" spans="1:19" ht="20.25">
      <c r="A27" s="234"/>
      <c r="B27" s="228" t="s">
        <v>347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  <c r="N27" s="229"/>
      <c r="O27" s="229"/>
      <c r="Q27" s="230"/>
      <c r="R27" s="231"/>
      <c r="S27" s="272" t="s">
        <v>348</v>
      </c>
    </row>
    <row r="28" spans="1:19" ht="20.25">
      <c r="A28" s="234"/>
      <c r="F28" s="235" t="s">
        <v>349</v>
      </c>
      <c r="G28" s="228" t="s">
        <v>350</v>
      </c>
      <c r="H28" s="236">
        <v>0.35</v>
      </c>
      <c r="I28" s="228"/>
      <c r="J28" s="228"/>
      <c r="K28" s="228"/>
      <c r="L28" s="228"/>
      <c r="M28" s="229"/>
      <c r="N28" s="229"/>
      <c r="O28" s="229"/>
      <c r="Q28" s="230"/>
      <c r="R28" s="231"/>
      <c r="S28" s="232"/>
    </row>
    <row r="29" spans="1:19" ht="18">
      <c r="A29" s="234"/>
      <c r="F29" s="228"/>
      <c r="G29" s="228" t="s">
        <v>351</v>
      </c>
      <c r="H29" s="236">
        <f>ROUND(D17,4)</f>
        <v>4.7899999999999998E-2</v>
      </c>
      <c r="I29" s="228" t="s">
        <v>352</v>
      </c>
      <c r="J29" s="228"/>
      <c r="K29" s="228"/>
    </row>
    <row r="30" spans="1:19" ht="18">
      <c r="A30" s="234"/>
      <c r="F30" s="228"/>
      <c r="G30" s="228" t="s">
        <v>353</v>
      </c>
      <c r="H30" s="236">
        <v>0</v>
      </c>
      <c r="I30" s="228" t="s">
        <v>354</v>
      </c>
      <c r="J30" s="228"/>
      <c r="K30" s="228"/>
    </row>
  </sheetData>
  <pageMargins left="0.17" right="0.17" top="1.25" bottom="0.75" header="0.3" footer="0.3"/>
  <pageSetup scale="63" orientation="landscape" r:id="rId1"/>
  <headerFooter>
    <oddFooter>&amp;C&amp;F -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zoomScale="80" zoomScaleNormal="80" workbookViewId="0">
      <selection activeCell="J28" sqref="J28"/>
    </sheetView>
  </sheetViews>
  <sheetFormatPr defaultColWidth="9.140625" defaultRowHeight="15.75"/>
  <cols>
    <col min="1" max="1" width="7.7109375" style="309" customWidth="1"/>
    <col min="2" max="2" width="1.85546875" style="309" customWidth="1"/>
    <col min="3" max="3" width="55.28515625" style="309" customWidth="1"/>
    <col min="4" max="4" width="35.140625" style="309" customWidth="1"/>
    <col min="5" max="5" width="17.85546875" style="309" customWidth="1"/>
    <col min="6" max="6" width="7.7109375" style="309" customWidth="1"/>
    <col min="7" max="7" width="7.28515625" style="309" customWidth="1"/>
    <col min="8" max="8" width="13.7109375" style="309" customWidth="1"/>
    <col min="9" max="9" width="7.42578125" style="309" customWidth="1"/>
    <col min="10" max="10" width="16.42578125" style="309" customWidth="1"/>
    <col min="11" max="11" width="4.42578125" style="309" customWidth="1"/>
    <col min="12" max="12" width="11.140625" style="374" customWidth="1"/>
    <col min="13" max="13" width="0.85546875" style="309" customWidth="1"/>
    <col min="14" max="14" width="15.42578125" style="309" bestFit="1" customWidth="1"/>
    <col min="15" max="15" width="15.140625" style="309" customWidth="1"/>
    <col min="16" max="16" width="9.140625" style="309"/>
    <col min="17" max="17" width="16.5703125" style="309" bestFit="1" customWidth="1"/>
    <col min="18" max="16384" width="9.140625" style="309"/>
  </cols>
  <sheetData>
    <row r="1" spans="1:12">
      <c r="C1" s="310"/>
      <c r="D1" s="310"/>
      <c r="E1" s="311"/>
      <c r="F1" s="310"/>
      <c r="G1" s="310"/>
      <c r="H1" s="310"/>
      <c r="I1" s="312"/>
      <c r="J1" s="313"/>
      <c r="K1" s="313"/>
      <c r="L1" s="314"/>
    </row>
    <row r="2" spans="1:12">
      <c r="C2" s="310"/>
      <c r="D2" s="310"/>
      <c r="E2" s="311"/>
      <c r="F2" s="310"/>
      <c r="G2" s="310"/>
      <c r="H2" s="310"/>
      <c r="I2" s="312"/>
      <c r="J2" s="312"/>
      <c r="L2" s="315" t="s">
        <v>1</v>
      </c>
    </row>
    <row r="3" spans="1:12">
      <c r="C3" s="310"/>
      <c r="D3" s="310"/>
      <c r="E3" s="311"/>
      <c r="F3" s="310"/>
      <c r="G3" s="310"/>
      <c r="H3" s="310"/>
      <c r="I3" s="312"/>
      <c r="J3" s="312"/>
      <c r="K3" s="316"/>
      <c r="L3" s="317" t="s">
        <v>434</v>
      </c>
    </row>
    <row r="4" spans="1:12">
      <c r="C4" s="310"/>
      <c r="D4" s="310"/>
      <c r="E4" s="311"/>
      <c r="F4" s="310"/>
      <c r="G4" s="310"/>
      <c r="H4" s="310"/>
      <c r="I4" s="312"/>
      <c r="J4" s="312"/>
      <c r="K4" s="316"/>
      <c r="L4" s="318"/>
    </row>
    <row r="5" spans="1:12">
      <c r="C5" s="310" t="s">
        <v>435</v>
      </c>
      <c r="D5" s="310"/>
      <c r="E5" s="311" t="s">
        <v>436</v>
      </c>
      <c r="F5" s="310"/>
      <c r="G5" s="310"/>
      <c r="H5" s="310"/>
      <c r="I5" s="312"/>
      <c r="J5" s="319" t="s">
        <v>437</v>
      </c>
      <c r="K5" s="320"/>
      <c r="L5" s="320"/>
    </row>
    <row r="6" spans="1:12">
      <c r="C6" s="310"/>
      <c r="D6" s="321" t="s">
        <v>145</v>
      </c>
      <c r="E6" s="321" t="s">
        <v>438</v>
      </c>
      <c r="F6" s="321"/>
      <c r="G6" s="321"/>
      <c r="H6" s="321"/>
      <c r="I6" s="312"/>
      <c r="J6" s="312"/>
      <c r="K6" s="316"/>
      <c r="L6" s="318"/>
    </row>
    <row r="7" spans="1:12">
      <c r="C7" s="316"/>
      <c r="D7" s="316"/>
      <c r="E7" s="316"/>
      <c r="F7" s="316"/>
      <c r="G7" s="316"/>
      <c r="H7" s="316"/>
      <c r="I7" s="316"/>
      <c r="J7" s="316"/>
      <c r="K7" s="316"/>
      <c r="L7" s="318"/>
    </row>
    <row r="8" spans="1:12">
      <c r="A8" s="322"/>
      <c r="C8" s="316"/>
      <c r="D8" s="316"/>
      <c r="E8" s="323" t="s">
        <v>0</v>
      </c>
      <c r="F8" s="324"/>
      <c r="G8" s="324"/>
      <c r="H8" s="316"/>
      <c r="I8" s="316"/>
      <c r="J8" s="316"/>
      <c r="K8" s="316"/>
      <c r="L8" s="318"/>
    </row>
    <row r="9" spans="1:12">
      <c r="A9" s="322"/>
      <c r="C9" s="316"/>
      <c r="D9" s="316"/>
      <c r="E9" s="325"/>
      <c r="F9" s="316"/>
      <c r="G9" s="316"/>
      <c r="H9" s="316"/>
      <c r="I9" s="316"/>
      <c r="J9" s="316"/>
      <c r="K9" s="316"/>
      <c r="L9" s="318"/>
    </row>
    <row r="10" spans="1:12">
      <c r="A10" s="322" t="s">
        <v>439</v>
      </c>
      <c r="C10" s="316"/>
      <c r="D10" s="316"/>
      <c r="E10" s="325"/>
      <c r="F10" s="316"/>
      <c r="G10" s="316"/>
      <c r="H10" s="316"/>
      <c r="I10" s="316"/>
      <c r="J10" s="322" t="s">
        <v>141</v>
      </c>
      <c r="K10" s="316"/>
      <c r="L10" s="318"/>
    </row>
    <row r="11" spans="1:12" ht="16.5" thickBot="1">
      <c r="A11" s="326" t="s">
        <v>440</v>
      </c>
      <c r="C11" s="316"/>
      <c r="D11" s="316"/>
      <c r="E11" s="316"/>
      <c r="F11" s="316"/>
      <c r="G11" s="316"/>
      <c r="H11" s="316"/>
      <c r="I11" s="316"/>
      <c r="J11" s="326" t="s">
        <v>441</v>
      </c>
      <c r="K11" s="316"/>
      <c r="L11" s="318"/>
    </row>
    <row r="12" spans="1:12">
      <c r="A12" s="322">
        <v>1</v>
      </c>
      <c r="C12" s="316" t="s">
        <v>442</v>
      </c>
      <c r="D12" s="316"/>
      <c r="E12" s="327"/>
      <c r="F12" s="316"/>
      <c r="G12" s="316"/>
      <c r="H12" s="316"/>
      <c r="I12" s="316"/>
      <c r="J12" s="328">
        <f>+J225</f>
        <v>24230358.049329542</v>
      </c>
      <c r="K12" s="316"/>
      <c r="L12" s="318"/>
    </row>
    <row r="13" spans="1:12">
      <c r="A13" s="322"/>
      <c r="C13" s="316"/>
      <c r="D13" s="316"/>
      <c r="E13" s="316"/>
      <c r="F13" s="316"/>
      <c r="G13" s="316"/>
      <c r="H13" s="316"/>
      <c r="I13" s="316"/>
      <c r="J13" s="327"/>
      <c r="K13" s="316"/>
      <c r="L13" s="318"/>
    </row>
    <row r="14" spans="1:12">
      <c r="A14" s="322"/>
      <c r="C14" s="316"/>
      <c r="D14" s="316"/>
      <c r="E14" s="316"/>
      <c r="F14" s="316"/>
      <c r="G14" s="316"/>
      <c r="H14" s="316"/>
      <c r="I14" s="316"/>
      <c r="J14" s="327"/>
      <c r="K14" s="316"/>
      <c r="L14" s="318"/>
    </row>
    <row r="15" spans="1:12" ht="16.5" thickBot="1">
      <c r="A15" s="322" t="s">
        <v>145</v>
      </c>
      <c r="C15" s="329" t="s">
        <v>443</v>
      </c>
      <c r="D15" s="330" t="s">
        <v>444</v>
      </c>
      <c r="E15" s="326" t="s">
        <v>10</v>
      </c>
      <c r="F15" s="321"/>
      <c r="G15" s="331" t="s">
        <v>445</v>
      </c>
      <c r="H15" s="331"/>
      <c r="I15" s="316"/>
      <c r="J15" s="327"/>
      <c r="K15" s="316"/>
      <c r="L15" s="318"/>
    </row>
    <row r="16" spans="1:12">
      <c r="A16" s="322">
        <v>2</v>
      </c>
      <c r="C16" s="329" t="s">
        <v>446</v>
      </c>
      <c r="D16" s="321" t="s">
        <v>447</v>
      </c>
      <c r="E16" s="321">
        <f>J303</f>
        <v>1704062</v>
      </c>
      <c r="F16" s="321"/>
      <c r="G16" s="321" t="s">
        <v>448</v>
      </c>
      <c r="H16" s="332">
        <f>J251</f>
        <v>0.95223595320484389</v>
      </c>
      <c r="I16" s="321"/>
      <c r="J16" s="321">
        <f>+H16*E16</f>
        <v>1622669.1028901527</v>
      </c>
      <c r="K16" s="316"/>
      <c r="L16" s="318"/>
    </row>
    <row r="17" spans="1:17">
      <c r="A17" s="322">
        <v>3</v>
      </c>
      <c r="C17" s="329" t="s">
        <v>449</v>
      </c>
      <c r="D17" s="321" t="s">
        <v>450</v>
      </c>
      <c r="E17" s="321">
        <f>J310</f>
        <v>2357523</v>
      </c>
      <c r="F17" s="321"/>
      <c r="G17" s="321" t="str">
        <f t="shared" ref="G17:H19" si="0">+G16</f>
        <v>TP</v>
      </c>
      <c r="H17" s="332">
        <f t="shared" si="0"/>
        <v>0.95223595320484389</v>
      </c>
      <c r="I17" s="321"/>
      <c r="J17" s="321">
        <f>+H17*E17</f>
        <v>2244918.1611073432</v>
      </c>
      <c r="K17" s="316"/>
      <c r="L17" s="318"/>
    </row>
    <row r="18" spans="1:17">
      <c r="A18" s="322">
        <v>4</v>
      </c>
      <c r="C18" s="333" t="s">
        <v>451</v>
      </c>
      <c r="D18" s="321"/>
      <c r="E18" s="334">
        <v>0</v>
      </c>
      <c r="F18" s="321"/>
      <c r="G18" s="321" t="str">
        <f t="shared" si="0"/>
        <v>TP</v>
      </c>
      <c r="H18" s="332">
        <f t="shared" si="0"/>
        <v>0.95223595320484389</v>
      </c>
      <c r="I18" s="321"/>
      <c r="J18" s="321">
        <f>+H18*E18</f>
        <v>0</v>
      </c>
      <c r="K18" s="316"/>
      <c r="L18" s="318"/>
      <c r="N18" s="335"/>
      <c r="O18" s="336"/>
      <c r="P18" s="336"/>
      <c r="Q18" s="336"/>
    </row>
    <row r="19" spans="1:17" ht="16.5" thickBot="1">
      <c r="A19" s="322">
        <v>5</v>
      </c>
      <c r="C19" s="333" t="s">
        <v>452</v>
      </c>
      <c r="D19" s="321"/>
      <c r="E19" s="334">
        <v>0</v>
      </c>
      <c r="F19" s="321"/>
      <c r="G19" s="321" t="str">
        <f t="shared" si="0"/>
        <v>TP</v>
      </c>
      <c r="H19" s="332">
        <f t="shared" si="0"/>
        <v>0.95223595320484389</v>
      </c>
      <c r="I19" s="321"/>
      <c r="J19" s="337">
        <f>+H19*E19</f>
        <v>0</v>
      </c>
      <c r="K19" s="316"/>
      <c r="L19" s="318"/>
      <c r="N19" s="335"/>
      <c r="O19" s="336"/>
      <c r="P19" s="336"/>
      <c r="Q19" s="336"/>
    </row>
    <row r="20" spans="1:17">
      <c r="A20" s="322">
        <v>6</v>
      </c>
      <c r="C20" s="329" t="s">
        <v>453</v>
      </c>
      <c r="D20" s="316"/>
      <c r="E20" s="338" t="s">
        <v>145</v>
      </c>
      <c r="F20" s="321"/>
      <c r="G20" s="321"/>
      <c r="H20" s="332"/>
      <c r="I20" s="321"/>
      <c r="J20" s="321">
        <f>SUM(J16:J19)</f>
        <v>3867587.2639974961</v>
      </c>
      <c r="K20" s="316"/>
      <c r="L20" s="318"/>
      <c r="N20" s="339"/>
      <c r="O20" s="336"/>
      <c r="P20" s="336"/>
      <c r="Q20" s="336"/>
    </row>
    <row r="21" spans="1:17">
      <c r="A21" s="322"/>
      <c r="D21" s="316"/>
      <c r="E21" s="321" t="s">
        <v>145</v>
      </c>
      <c r="F21" s="316"/>
      <c r="G21" s="316"/>
      <c r="H21" s="332"/>
      <c r="I21" s="316"/>
      <c r="K21" s="316"/>
      <c r="L21" s="318"/>
      <c r="N21" s="339"/>
      <c r="O21" s="336"/>
      <c r="P21" s="336"/>
      <c r="Q21" s="336"/>
    </row>
    <row r="22" spans="1:17">
      <c r="A22" s="340" t="s">
        <v>454</v>
      </c>
      <c r="C22" s="341" t="s">
        <v>417</v>
      </c>
      <c r="D22" s="342"/>
      <c r="E22" s="343" t="s">
        <v>145</v>
      </c>
      <c r="F22" s="342"/>
      <c r="G22" s="342"/>
      <c r="H22" s="344"/>
      <c r="I22" s="342"/>
      <c r="J22" s="345">
        <v>0</v>
      </c>
      <c r="K22" s="316"/>
      <c r="L22" s="318"/>
      <c r="N22" s="339"/>
      <c r="O22" s="336"/>
      <c r="P22" s="336"/>
      <c r="Q22" s="336"/>
    </row>
    <row r="23" spans="1:17" ht="16.5" thickBot="1">
      <c r="A23" s="340" t="s">
        <v>455</v>
      </c>
      <c r="C23" s="341" t="s">
        <v>456</v>
      </c>
      <c r="D23" s="342" t="s">
        <v>457</v>
      </c>
      <c r="E23" s="343"/>
      <c r="F23" s="342"/>
      <c r="G23" s="342"/>
      <c r="H23" s="344"/>
      <c r="I23" s="342"/>
      <c r="J23" s="346">
        <v>0</v>
      </c>
      <c r="K23" s="316"/>
      <c r="L23" s="318"/>
      <c r="N23" s="339"/>
      <c r="O23" s="336"/>
      <c r="P23" s="336"/>
      <c r="Q23" s="336"/>
    </row>
    <row r="24" spans="1:17">
      <c r="A24" s="340" t="s">
        <v>458</v>
      </c>
      <c r="C24" s="341" t="s">
        <v>459</v>
      </c>
      <c r="D24" s="342" t="s">
        <v>460</v>
      </c>
      <c r="E24" s="343"/>
      <c r="F24" s="342"/>
      <c r="G24" s="342"/>
      <c r="H24" s="344"/>
      <c r="I24" s="342"/>
      <c r="J24" s="347">
        <f>J22-J23</f>
        <v>0</v>
      </c>
      <c r="K24" s="316"/>
      <c r="L24" s="318"/>
      <c r="N24" s="339"/>
      <c r="O24" s="336"/>
      <c r="P24" s="336"/>
      <c r="Q24" s="336"/>
    </row>
    <row r="25" spans="1:17">
      <c r="A25" s="340" t="s">
        <v>461</v>
      </c>
      <c r="C25" s="341" t="s">
        <v>462</v>
      </c>
      <c r="D25" s="342" t="s">
        <v>463</v>
      </c>
      <c r="E25" s="343"/>
      <c r="F25" s="342"/>
      <c r="G25" s="342"/>
      <c r="H25" s="344"/>
      <c r="I25" s="342"/>
      <c r="J25" s="347">
        <f>E392</f>
        <v>0</v>
      </c>
      <c r="K25" s="316"/>
      <c r="L25" s="318"/>
      <c r="N25" s="348"/>
      <c r="O25" s="349"/>
      <c r="P25" s="336"/>
      <c r="Q25" s="336"/>
    </row>
    <row r="26" spans="1:17" ht="16.5" thickBot="1">
      <c r="A26" s="340" t="s">
        <v>464</v>
      </c>
      <c r="C26" s="341" t="s">
        <v>465</v>
      </c>
      <c r="D26" s="342"/>
      <c r="E26" s="343"/>
      <c r="F26" s="342"/>
      <c r="G26" s="342"/>
      <c r="H26" s="344"/>
      <c r="I26" s="342"/>
      <c r="J26" s="346">
        <v>0</v>
      </c>
      <c r="K26" s="316"/>
      <c r="L26" s="318"/>
      <c r="N26" s="350"/>
      <c r="O26" s="350"/>
      <c r="P26" s="336"/>
      <c r="Q26" s="336"/>
    </row>
    <row r="27" spans="1:17">
      <c r="A27" s="322"/>
      <c r="C27" s="329"/>
      <c r="D27" s="316"/>
      <c r="J27" s="321"/>
      <c r="K27" s="316"/>
      <c r="L27" s="318"/>
      <c r="N27" s="351"/>
      <c r="O27" s="351"/>
      <c r="P27" s="336"/>
      <c r="Q27" s="336"/>
    </row>
    <row r="28" spans="1:17" ht="16.5" thickBot="1">
      <c r="A28" s="322">
        <v>7</v>
      </c>
      <c r="C28" s="329" t="s">
        <v>466</v>
      </c>
      <c r="D28" s="352" t="s">
        <v>467</v>
      </c>
      <c r="E28" s="338"/>
      <c r="F28" s="321"/>
      <c r="G28" s="321"/>
      <c r="H28" s="321"/>
      <c r="I28" s="321"/>
      <c r="J28" s="353">
        <f>+J12-J20+J24+J25+J26</f>
        <v>20362770.785332046</v>
      </c>
      <c r="K28" s="316"/>
      <c r="L28" s="318"/>
      <c r="N28" s="354"/>
      <c r="P28" s="336"/>
      <c r="Q28" s="336"/>
    </row>
    <row r="29" spans="1:17" ht="16.5" thickTop="1">
      <c r="A29" s="322"/>
      <c r="D29" s="316"/>
      <c r="E29" s="338"/>
      <c r="F29" s="321"/>
      <c r="G29" s="321"/>
      <c r="H29" s="321"/>
      <c r="I29" s="321"/>
      <c r="K29" s="316"/>
      <c r="L29" s="318"/>
      <c r="N29" s="355"/>
      <c r="O29" s="356"/>
      <c r="P29" s="336"/>
      <c r="Q29" s="336"/>
    </row>
    <row r="30" spans="1:17">
      <c r="A30" s="322"/>
      <c r="D30" s="321"/>
      <c r="J30" s="321"/>
      <c r="K30" s="316"/>
      <c r="L30" s="318"/>
      <c r="N30" s="348"/>
      <c r="O30" s="349"/>
      <c r="P30" s="336"/>
      <c r="Q30" s="336"/>
    </row>
    <row r="31" spans="1:17">
      <c r="A31" s="322"/>
      <c r="C31" s="329" t="s">
        <v>468</v>
      </c>
      <c r="D31" s="316"/>
      <c r="E31" s="327"/>
      <c r="F31" s="316"/>
      <c r="G31" s="316"/>
      <c r="H31" s="316"/>
      <c r="I31" s="316"/>
      <c r="J31" s="327"/>
      <c r="K31" s="316"/>
      <c r="L31" s="318"/>
      <c r="N31" s="339"/>
      <c r="O31" s="336"/>
      <c r="P31" s="336"/>
      <c r="Q31" s="336"/>
    </row>
    <row r="32" spans="1:17">
      <c r="A32" s="322">
        <v>8</v>
      </c>
      <c r="C32" s="329" t="s">
        <v>469</v>
      </c>
      <c r="E32" s="357"/>
      <c r="F32" s="316"/>
      <c r="G32" s="316"/>
      <c r="H32" s="358" t="s">
        <v>470</v>
      </c>
      <c r="I32" s="316"/>
      <c r="J32" s="359">
        <v>505945</v>
      </c>
      <c r="K32" s="316"/>
      <c r="L32" s="318"/>
      <c r="N32" s="360"/>
      <c r="O32" s="336"/>
      <c r="P32" s="336"/>
      <c r="Q32" s="336"/>
    </row>
    <row r="33" spans="1:12">
      <c r="A33" s="322">
        <v>9</v>
      </c>
      <c r="C33" s="329" t="s">
        <v>471</v>
      </c>
      <c r="D33" s="321"/>
      <c r="E33" s="321"/>
      <c r="F33" s="321"/>
      <c r="G33" s="321"/>
      <c r="H33" s="330" t="s">
        <v>472</v>
      </c>
      <c r="I33" s="321"/>
      <c r="J33" s="359">
        <v>0</v>
      </c>
      <c r="K33" s="316"/>
      <c r="L33" s="318"/>
    </row>
    <row r="34" spans="1:12">
      <c r="A34" s="322">
        <v>10</v>
      </c>
      <c r="C34" s="333" t="s">
        <v>473</v>
      </c>
      <c r="D34" s="316"/>
      <c r="E34" s="361"/>
      <c r="F34" s="316"/>
      <c r="H34" s="358" t="s">
        <v>474</v>
      </c>
      <c r="I34" s="316"/>
      <c r="J34" s="359">
        <v>0</v>
      </c>
      <c r="K34" s="316"/>
      <c r="L34" s="318"/>
    </row>
    <row r="35" spans="1:12">
      <c r="A35" s="322">
        <v>11</v>
      </c>
      <c r="C35" s="329" t="s">
        <v>475</v>
      </c>
      <c r="D35" s="316"/>
      <c r="E35" s="316"/>
      <c r="F35" s="316"/>
      <c r="H35" s="358" t="s">
        <v>476</v>
      </c>
      <c r="I35" s="316"/>
      <c r="J35" s="362">
        <v>0</v>
      </c>
      <c r="K35" s="316"/>
      <c r="L35" s="318"/>
    </row>
    <row r="36" spans="1:12">
      <c r="A36" s="322">
        <v>12</v>
      </c>
      <c r="C36" s="333" t="s">
        <v>477</v>
      </c>
      <c r="D36" s="316"/>
      <c r="E36" s="316"/>
      <c r="F36" s="316"/>
      <c r="G36" s="316"/>
      <c r="H36" s="312"/>
      <c r="I36" s="316"/>
      <c r="J36" s="362">
        <v>0</v>
      </c>
      <c r="K36" s="316"/>
      <c r="L36" s="318"/>
    </row>
    <row r="37" spans="1:12">
      <c r="A37" s="322">
        <v>13</v>
      </c>
      <c r="C37" s="333" t="s">
        <v>478</v>
      </c>
      <c r="D37" s="316"/>
      <c r="E37" s="316"/>
      <c r="F37" s="316"/>
      <c r="G37" s="316"/>
      <c r="H37" s="358"/>
      <c r="I37" s="316"/>
      <c r="J37" s="362">
        <v>0</v>
      </c>
      <c r="K37" s="316"/>
      <c r="L37" s="318"/>
    </row>
    <row r="38" spans="1:12" ht="16.5" thickBot="1">
      <c r="A38" s="322">
        <v>14</v>
      </c>
      <c r="C38" s="333" t="s">
        <v>479</v>
      </c>
      <c r="D38" s="316"/>
      <c r="E38" s="316"/>
      <c r="F38" s="316"/>
      <c r="G38" s="316"/>
      <c r="H38" s="312"/>
      <c r="I38" s="316"/>
      <c r="J38" s="363">
        <v>0</v>
      </c>
      <c r="K38" s="316"/>
      <c r="L38" s="318"/>
    </row>
    <row r="39" spans="1:12">
      <c r="A39" s="322">
        <v>15</v>
      </c>
      <c r="C39" s="310" t="s">
        <v>480</v>
      </c>
      <c r="D39" s="316"/>
      <c r="E39" s="316"/>
      <c r="F39" s="316"/>
      <c r="G39" s="316"/>
      <c r="H39" s="316"/>
      <c r="I39" s="316"/>
      <c r="J39" s="327">
        <f>SUM(J32:J38)</f>
        <v>505945</v>
      </c>
      <c r="K39" s="316"/>
      <c r="L39" s="318"/>
    </row>
    <row r="40" spans="1:12">
      <c r="A40" s="322"/>
      <c r="C40" s="329"/>
      <c r="D40" s="316"/>
      <c r="E40" s="316"/>
      <c r="F40" s="316"/>
      <c r="G40" s="316"/>
      <c r="H40" s="316"/>
      <c r="I40" s="316"/>
      <c r="J40" s="327"/>
      <c r="K40" s="316"/>
      <c r="L40" s="318"/>
    </row>
    <row r="41" spans="1:12">
      <c r="A41" s="322">
        <v>16</v>
      </c>
      <c r="C41" s="329" t="s">
        <v>481</v>
      </c>
      <c r="D41" s="316" t="s">
        <v>482</v>
      </c>
      <c r="E41" s="364">
        <f>IF(J39&gt;0,J28/J39,0)</f>
        <v>40.247004684959919</v>
      </c>
      <c r="F41" s="316"/>
      <c r="G41" s="316"/>
      <c r="H41" s="316"/>
      <c r="I41" s="316"/>
      <c r="K41" s="316"/>
      <c r="L41" s="318"/>
    </row>
    <row r="42" spans="1:12">
      <c r="A42" s="322">
        <v>17</v>
      </c>
      <c r="C42" s="329" t="s">
        <v>483</v>
      </c>
      <c r="D42" s="316" t="s">
        <v>484</v>
      </c>
      <c r="E42" s="364">
        <f>+E41/12</f>
        <v>3.3539170570799932</v>
      </c>
      <c r="F42" s="316"/>
      <c r="G42" s="316"/>
      <c r="H42" s="316"/>
      <c r="I42" s="316"/>
      <c r="K42" s="316"/>
      <c r="L42" s="318"/>
    </row>
    <row r="43" spans="1:12">
      <c r="A43" s="322"/>
      <c r="C43" s="329"/>
      <c r="D43" s="316"/>
      <c r="E43" s="364"/>
      <c r="F43" s="316"/>
      <c r="G43" s="316"/>
      <c r="H43" s="316"/>
      <c r="I43" s="316"/>
      <c r="K43" s="316"/>
      <c r="L43" s="318"/>
    </row>
    <row r="44" spans="1:12">
      <c r="A44" s="322"/>
      <c r="C44" s="329"/>
      <c r="D44" s="316"/>
      <c r="E44" s="365" t="s">
        <v>485</v>
      </c>
      <c r="F44" s="316"/>
      <c r="G44" s="316"/>
      <c r="H44" s="316"/>
      <c r="I44" s="316"/>
      <c r="J44" s="366" t="s">
        <v>486</v>
      </c>
      <c r="K44" s="316"/>
      <c r="L44" s="318"/>
    </row>
    <row r="45" spans="1:12">
      <c r="A45" s="322"/>
      <c r="C45" s="329"/>
      <c r="D45" s="316"/>
      <c r="E45" s="364"/>
      <c r="F45" s="316"/>
      <c r="G45" s="316"/>
      <c r="H45" s="316"/>
      <c r="I45" s="316"/>
      <c r="K45" s="316"/>
      <c r="L45" s="318"/>
    </row>
    <row r="46" spans="1:12">
      <c r="A46" s="322">
        <v>18</v>
      </c>
      <c r="C46" s="329" t="s">
        <v>487</v>
      </c>
      <c r="D46" s="367" t="s">
        <v>488</v>
      </c>
      <c r="E46" s="364">
        <f>+E41/52</f>
        <v>0.77398085932615224</v>
      </c>
      <c r="F46" s="316"/>
      <c r="G46" s="316"/>
      <c r="H46" s="316"/>
      <c r="I46" s="316"/>
      <c r="J46" s="368">
        <f>+E41/52</f>
        <v>0.77398085932615224</v>
      </c>
      <c r="K46" s="316"/>
      <c r="L46" s="318"/>
    </row>
    <row r="47" spans="1:12">
      <c r="A47" s="322">
        <v>19</v>
      </c>
      <c r="C47" s="329" t="s">
        <v>489</v>
      </c>
      <c r="D47" s="367" t="s">
        <v>490</v>
      </c>
      <c r="E47" s="364">
        <f>+E41/260</f>
        <v>0.15479617186523045</v>
      </c>
      <c r="F47" s="316" t="s">
        <v>491</v>
      </c>
      <c r="H47" s="316"/>
      <c r="I47" s="316"/>
      <c r="J47" s="368">
        <f>+E41/365</f>
        <v>0.11026576626016416</v>
      </c>
      <c r="K47" s="316"/>
      <c r="L47" s="318"/>
    </row>
    <row r="48" spans="1:12">
      <c r="A48" s="322">
        <v>20</v>
      </c>
      <c r="C48" s="329" t="s">
        <v>492</v>
      </c>
      <c r="D48" s="369" t="s">
        <v>493</v>
      </c>
      <c r="E48" s="370">
        <f>+E41/4160*1000</f>
        <v>9.6747607415769039</v>
      </c>
      <c r="F48" s="316" t="s">
        <v>494</v>
      </c>
      <c r="H48" s="316"/>
      <c r="I48" s="316"/>
      <c r="J48" s="368">
        <f>+E41/8760*1000</f>
        <v>4.5944069275068404</v>
      </c>
      <c r="K48" s="316"/>
      <c r="L48" s="318" t="s">
        <v>145</v>
      </c>
    </row>
    <row r="49" spans="1:12">
      <c r="A49" s="322"/>
      <c r="C49" s="329"/>
      <c r="D49" s="316"/>
      <c r="E49" s="316"/>
      <c r="F49" s="316"/>
      <c r="H49" s="316"/>
      <c r="I49" s="316"/>
      <c r="K49" s="316"/>
      <c r="L49" s="318" t="s">
        <v>145</v>
      </c>
    </row>
    <row r="50" spans="1:12">
      <c r="A50" s="322">
        <v>21</v>
      </c>
      <c r="C50" s="329" t="s">
        <v>495</v>
      </c>
      <c r="D50" s="316" t="s">
        <v>496</v>
      </c>
      <c r="E50" s="371">
        <v>0</v>
      </c>
      <c r="F50" s="372" t="s">
        <v>497</v>
      </c>
      <c r="G50" s="372"/>
      <c r="H50" s="372"/>
      <c r="I50" s="372"/>
      <c r="J50" s="372">
        <f>E50</f>
        <v>0</v>
      </c>
      <c r="K50" s="372" t="s">
        <v>497</v>
      </c>
      <c r="L50" s="318"/>
    </row>
    <row r="51" spans="1:12">
      <c r="A51" s="322">
        <v>22</v>
      </c>
      <c r="C51" s="329"/>
      <c r="D51" s="316"/>
      <c r="E51" s="371">
        <v>0</v>
      </c>
      <c r="F51" s="372" t="s">
        <v>358</v>
      </c>
      <c r="G51" s="372"/>
      <c r="H51" s="372"/>
      <c r="I51" s="372"/>
      <c r="J51" s="372">
        <f>E51</f>
        <v>0</v>
      </c>
      <c r="K51" s="372" t="s">
        <v>358</v>
      </c>
      <c r="L51" s="318"/>
    </row>
    <row r="52" spans="1:12" s="374" customFormat="1">
      <c r="A52" s="373"/>
      <c r="C52" s="375"/>
      <c r="D52" s="318"/>
      <c r="E52" s="376"/>
      <c r="F52" s="376"/>
      <c r="G52" s="376"/>
      <c r="H52" s="376"/>
      <c r="I52" s="376"/>
      <c r="J52" s="376"/>
      <c r="K52" s="376"/>
      <c r="L52" s="318"/>
    </row>
    <row r="53" spans="1:12" s="374" customFormat="1">
      <c r="A53" s="373"/>
      <c r="C53" s="375"/>
      <c r="D53" s="318"/>
      <c r="E53" s="376"/>
      <c r="F53" s="376"/>
      <c r="G53" s="376"/>
      <c r="H53" s="376"/>
      <c r="I53" s="376"/>
      <c r="J53" s="376"/>
      <c r="K53" s="376"/>
      <c r="L53" s="318"/>
    </row>
    <row r="54" spans="1:12" s="374" customFormat="1">
      <c r="A54" s="373"/>
      <c r="C54" s="375"/>
      <c r="D54" s="318"/>
      <c r="E54" s="376"/>
      <c r="F54" s="376"/>
      <c r="G54" s="376"/>
      <c r="H54" s="376"/>
      <c r="I54" s="376"/>
      <c r="J54" s="376"/>
      <c r="K54" s="376"/>
      <c r="L54" s="318"/>
    </row>
    <row r="55" spans="1:12" s="374" customFormat="1">
      <c r="A55" s="373"/>
      <c r="C55" s="375"/>
      <c r="D55" s="318"/>
      <c r="E55" s="376"/>
      <c r="F55" s="376"/>
      <c r="G55" s="376"/>
      <c r="H55" s="376"/>
      <c r="I55" s="376"/>
      <c r="J55" s="376"/>
      <c r="K55" s="376"/>
      <c r="L55" s="318"/>
    </row>
    <row r="56" spans="1:12" s="374" customFormat="1">
      <c r="A56" s="373"/>
      <c r="C56" s="375"/>
      <c r="D56" s="318"/>
      <c r="E56" s="376"/>
      <c r="F56" s="376"/>
      <c r="G56" s="376"/>
      <c r="H56" s="376"/>
      <c r="I56" s="376"/>
      <c r="J56" s="376"/>
      <c r="K56" s="376"/>
      <c r="L56" s="318"/>
    </row>
    <row r="57" spans="1:12" s="374" customFormat="1">
      <c r="A57" s="373"/>
      <c r="C57" s="375"/>
      <c r="D57" s="318"/>
      <c r="E57" s="376"/>
      <c r="F57" s="376"/>
      <c r="G57" s="376"/>
      <c r="H57" s="376"/>
      <c r="I57" s="376"/>
      <c r="J57" s="376"/>
      <c r="K57" s="376"/>
      <c r="L57" s="318"/>
    </row>
    <row r="58" spans="1:12" s="374" customFormat="1">
      <c r="A58" s="373"/>
      <c r="C58" s="375"/>
      <c r="D58" s="318"/>
      <c r="E58" s="376"/>
      <c r="F58" s="376"/>
      <c r="G58" s="376"/>
      <c r="H58" s="376"/>
      <c r="I58" s="376"/>
      <c r="J58" s="376"/>
      <c r="K58" s="376"/>
      <c r="L58" s="318"/>
    </row>
    <row r="59" spans="1:12" s="374" customFormat="1">
      <c r="A59" s="373"/>
      <c r="C59" s="375"/>
      <c r="D59" s="318"/>
      <c r="E59" s="376"/>
      <c r="F59" s="376"/>
      <c r="G59" s="376"/>
      <c r="H59" s="376"/>
      <c r="I59" s="376"/>
      <c r="J59" s="376"/>
      <c r="K59" s="376"/>
      <c r="L59" s="318"/>
    </row>
    <row r="60" spans="1:12" s="374" customFormat="1">
      <c r="A60" s="373"/>
      <c r="C60" s="375"/>
      <c r="D60" s="318"/>
      <c r="E60" s="376"/>
      <c r="F60" s="376"/>
      <c r="G60" s="376"/>
      <c r="H60" s="376"/>
      <c r="I60" s="376"/>
      <c r="J60" s="376"/>
      <c r="K60" s="376"/>
      <c r="L60" s="318"/>
    </row>
    <row r="61" spans="1:12" s="374" customFormat="1">
      <c r="A61" s="373"/>
      <c r="C61" s="375"/>
      <c r="D61" s="318"/>
      <c r="E61" s="376"/>
      <c r="F61" s="376"/>
      <c r="G61" s="376"/>
      <c r="H61" s="376"/>
      <c r="I61" s="376"/>
      <c r="J61" s="376"/>
      <c r="K61" s="376"/>
      <c r="L61" s="318"/>
    </row>
    <row r="62" spans="1:12" s="374" customFormat="1">
      <c r="A62" s="373"/>
      <c r="C62" s="375"/>
      <c r="D62" s="318"/>
      <c r="E62" s="376"/>
      <c r="F62" s="376"/>
      <c r="G62" s="376"/>
      <c r="H62" s="376"/>
      <c r="I62" s="376"/>
      <c r="J62" s="376"/>
      <c r="K62" s="376"/>
      <c r="L62" s="318"/>
    </row>
    <row r="63" spans="1:12" s="374" customFormat="1">
      <c r="A63" s="373"/>
      <c r="C63" s="375"/>
      <c r="D63" s="318"/>
      <c r="E63" s="376"/>
      <c r="F63" s="376"/>
      <c r="G63" s="376"/>
      <c r="H63" s="376"/>
      <c r="I63" s="376"/>
      <c r="J63" s="376"/>
      <c r="K63" s="376"/>
      <c r="L63" s="318"/>
    </row>
    <row r="64" spans="1:12" s="374" customFormat="1">
      <c r="A64" s="373"/>
      <c r="C64" s="375"/>
      <c r="D64" s="318"/>
      <c r="E64" s="376"/>
      <c r="F64" s="376"/>
      <c r="G64" s="376"/>
      <c r="H64" s="376"/>
      <c r="I64" s="376"/>
      <c r="J64" s="376"/>
      <c r="K64" s="376"/>
      <c r="L64" s="318"/>
    </row>
    <row r="65" spans="1:12" s="374" customFormat="1">
      <c r="A65" s="373"/>
      <c r="C65" s="375"/>
      <c r="D65" s="318"/>
      <c r="E65" s="376"/>
      <c r="F65" s="376"/>
      <c r="G65" s="376"/>
      <c r="H65" s="376"/>
      <c r="I65" s="376"/>
      <c r="J65" s="376"/>
      <c r="K65" s="376"/>
      <c r="L65" s="318"/>
    </row>
    <row r="66" spans="1:12" s="374" customFormat="1">
      <c r="A66" s="373"/>
      <c r="C66" s="375"/>
      <c r="D66" s="318"/>
      <c r="E66" s="376"/>
      <c r="F66" s="376"/>
      <c r="G66" s="376"/>
      <c r="H66" s="376"/>
      <c r="I66" s="376"/>
      <c r="J66" s="376"/>
      <c r="K66" s="376"/>
      <c r="L66" s="318"/>
    </row>
    <row r="67" spans="1:12" s="374" customFormat="1">
      <c r="A67" s="373"/>
      <c r="C67" s="375"/>
      <c r="D67" s="318"/>
      <c r="E67" s="376"/>
      <c r="F67" s="376"/>
      <c r="G67" s="376"/>
      <c r="H67" s="376"/>
      <c r="I67" s="376"/>
      <c r="J67" s="376"/>
      <c r="K67" s="376"/>
      <c r="L67" s="318"/>
    </row>
    <row r="68" spans="1:12" s="374" customFormat="1">
      <c r="A68" s="373"/>
      <c r="C68" s="375"/>
      <c r="D68" s="318"/>
      <c r="E68" s="376"/>
      <c r="F68" s="376"/>
      <c r="G68" s="376"/>
      <c r="H68" s="376"/>
      <c r="I68" s="376"/>
      <c r="J68" s="376"/>
      <c r="K68" s="376"/>
      <c r="L68" s="318"/>
    </row>
    <row r="69" spans="1:12" s="374" customFormat="1">
      <c r="A69" s="373"/>
      <c r="C69" s="375"/>
      <c r="D69" s="318"/>
      <c r="E69" s="376"/>
      <c r="F69" s="376"/>
      <c r="G69" s="376"/>
      <c r="H69" s="376"/>
      <c r="I69" s="376"/>
      <c r="J69" s="376"/>
      <c r="K69" s="376"/>
      <c r="L69" s="318"/>
    </row>
    <row r="70" spans="1:12" s="374" customFormat="1">
      <c r="A70" s="373"/>
      <c r="C70" s="375"/>
      <c r="D70" s="318"/>
      <c r="E70" s="376"/>
      <c r="F70" s="376"/>
      <c r="G70" s="376"/>
      <c r="H70" s="376"/>
      <c r="I70" s="376"/>
      <c r="J70" s="376"/>
      <c r="K70" s="376"/>
      <c r="L70" s="318"/>
    </row>
    <row r="71" spans="1:12" s="374" customFormat="1">
      <c r="A71" s="373"/>
      <c r="C71" s="375"/>
      <c r="D71" s="318"/>
      <c r="E71" s="376"/>
      <c r="F71" s="376"/>
      <c r="G71" s="376"/>
      <c r="H71" s="376"/>
      <c r="I71" s="376"/>
      <c r="J71" s="376"/>
      <c r="K71" s="376"/>
      <c r="L71" s="318"/>
    </row>
    <row r="72" spans="1:12" s="374" customFormat="1">
      <c r="A72" s="373"/>
      <c r="C72" s="375"/>
      <c r="D72" s="318"/>
      <c r="E72" s="376"/>
      <c r="F72" s="376"/>
      <c r="G72" s="376"/>
      <c r="H72" s="376"/>
      <c r="I72" s="376"/>
      <c r="J72" s="376"/>
      <c r="K72" s="376"/>
      <c r="L72" s="318"/>
    </row>
    <row r="73" spans="1:12" s="374" customFormat="1">
      <c r="A73" s="373"/>
      <c r="C73" s="375"/>
      <c r="D73" s="318"/>
      <c r="E73" s="376"/>
      <c r="F73" s="376"/>
      <c r="G73" s="376"/>
      <c r="H73" s="376"/>
      <c r="I73" s="376"/>
      <c r="J73" s="376"/>
      <c r="K73" s="376"/>
      <c r="L73" s="318"/>
    </row>
    <row r="74" spans="1:12" s="374" customFormat="1">
      <c r="A74" s="373"/>
      <c r="C74" s="375"/>
      <c r="D74" s="318"/>
      <c r="E74" s="376"/>
      <c r="F74" s="376"/>
      <c r="G74" s="376"/>
      <c r="H74" s="376"/>
      <c r="I74" s="376"/>
      <c r="J74" s="376"/>
      <c r="K74" s="376"/>
      <c r="L74" s="318"/>
    </row>
    <row r="75" spans="1:12" s="374" customFormat="1">
      <c r="A75" s="373"/>
      <c r="C75" s="375"/>
      <c r="D75" s="318"/>
      <c r="E75" s="376"/>
      <c r="F75" s="376"/>
      <c r="G75" s="376"/>
      <c r="H75" s="376"/>
      <c r="I75" s="376"/>
      <c r="J75" s="376"/>
      <c r="K75" s="376"/>
      <c r="L75" s="318"/>
    </row>
    <row r="76" spans="1:12" s="374" customFormat="1">
      <c r="A76" s="373"/>
      <c r="C76" s="375"/>
      <c r="D76" s="318"/>
      <c r="E76" s="376"/>
      <c r="F76" s="376"/>
      <c r="G76" s="376"/>
      <c r="H76" s="376"/>
      <c r="I76" s="376"/>
      <c r="J76" s="376"/>
      <c r="K76" s="376"/>
      <c r="L76" s="318"/>
    </row>
    <row r="77" spans="1:12">
      <c r="C77" s="310"/>
      <c r="D77" s="310"/>
      <c r="E77" s="311"/>
      <c r="F77" s="310"/>
      <c r="G77" s="310"/>
      <c r="H77" s="310"/>
      <c r="I77" s="312"/>
      <c r="J77" s="322"/>
      <c r="K77" s="322"/>
      <c r="L77" s="314"/>
    </row>
    <row r="78" spans="1:12">
      <c r="C78" s="310"/>
      <c r="D78" s="310"/>
      <c r="E78" s="311"/>
      <c r="F78" s="310"/>
      <c r="G78" s="310"/>
      <c r="H78" s="310"/>
      <c r="I78" s="312"/>
      <c r="J78" s="313"/>
      <c r="K78" s="313"/>
      <c r="L78" s="314"/>
    </row>
    <row r="79" spans="1:12">
      <c r="C79" s="310"/>
      <c r="D79" s="310"/>
      <c r="E79" s="311"/>
      <c r="F79" s="310"/>
      <c r="G79" s="310"/>
      <c r="H79" s="310"/>
      <c r="I79" s="312"/>
      <c r="J79" s="312"/>
      <c r="L79" s="315" t="s">
        <v>1</v>
      </c>
    </row>
    <row r="80" spans="1:12">
      <c r="C80" s="310"/>
      <c r="D80" s="310"/>
      <c r="E80" s="311"/>
      <c r="F80" s="310"/>
      <c r="G80" s="310"/>
      <c r="H80" s="310"/>
      <c r="I80" s="312"/>
      <c r="J80" s="312"/>
      <c r="K80" s="316"/>
      <c r="L80" s="317" t="s">
        <v>498</v>
      </c>
    </row>
    <row r="81" spans="1:16">
      <c r="C81" s="310"/>
      <c r="D81" s="310"/>
      <c r="E81" s="311"/>
      <c r="F81" s="310"/>
      <c r="G81" s="310"/>
      <c r="H81" s="310"/>
      <c r="I81" s="312"/>
      <c r="J81" s="312"/>
      <c r="K81" s="316"/>
      <c r="L81" s="317"/>
    </row>
    <row r="82" spans="1:16">
      <c r="C82" s="310" t="s">
        <v>435</v>
      </c>
      <c r="D82" s="310"/>
      <c r="E82" s="311" t="s">
        <v>436</v>
      </c>
      <c r="F82" s="310"/>
      <c r="G82" s="310"/>
      <c r="H82" s="310"/>
      <c r="I82" s="312"/>
      <c r="J82" s="319" t="str">
        <f>J5</f>
        <v>For the 12 months ended 12/31/14</v>
      </c>
      <c r="K82" s="320"/>
      <c r="L82" s="320"/>
    </row>
    <row r="83" spans="1:16">
      <c r="C83" s="310"/>
      <c r="D83" s="321" t="s">
        <v>145</v>
      </c>
      <c r="E83" s="321" t="s">
        <v>438</v>
      </c>
      <c r="F83" s="321"/>
      <c r="G83" s="321"/>
      <c r="H83" s="321"/>
      <c r="I83" s="312"/>
      <c r="J83" s="312"/>
      <c r="K83" s="316"/>
      <c r="L83" s="318"/>
    </row>
    <row r="84" spans="1:16">
      <c r="C84" s="310"/>
      <c r="D84" s="321"/>
      <c r="E84" s="321"/>
      <c r="F84" s="321"/>
      <c r="G84" s="321"/>
      <c r="H84" s="321"/>
      <c r="I84" s="312"/>
      <c r="J84" s="312"/>
      <c r="K84" s="316"/>
      <c r="L84" s="318"/>
    </row>
    <row r="85" spans="1:16">
      <c r="C85" s="329"/>
      <c r="D85" s="316"/>
      <c r="E85" s="323" t="str">
        <f>E8</f>
        <v>Montana-Dakota Utilities Co.</v>
      </c>
      <c r="F85" s="324"/>
      <c r="G85" s="324"/>
      <c r="H85" s="321"/>
      <c r="I85" s="321"/>
      <c r="J85" s="321"/>
      <c r="K85" s="321"/>
      <c r="L85" s="330"/>
    </row>
    <row r="86" spans="1:16">
      <c r="C86" s="377" t="s">
        <v>499</v>
      </c>
      <c r="D86" s="377" t="s">
        <v>500</v>
      </c>
      <c r="E86" s="377" t="s">
        <v>501</v>
      </c>
      <c r="F86" s="321" t="s">
        <v>145</v>
      </c>
      <c r="G86" s="321"/>
      <c r="H86" s="378" t="s">
        <v>502</v>
      </c>
      <c r="I86" s="321"/>
      <c r="J86" s="379" t="s">
        <v>503</v>
      </c>
      <c r="K86" s="321"/>
      <c r="L86" s="380"/>
    </row>
    <row r="87" spans="1:16">
      <c r="C87" s="329"/>
      <c r="D87" s="381" t="s">
        <v>504</v>
      </c>
      <c r="E87" s="321"/>
      <c r="F87" s="321"/>
      <c r="G87" s="321"/>
      <c r="H87" s="322"/>
      <c r="I87" s="321"/>
      <c r="J87" s="382" t="s">
        <v>7</v>
      </c>
      <c r="K87" s="321"/>
      <c r="L87" s="380"/>
    </row>
    <row r="88" spans="1:16">
      <c r="A88" s="322" t="s">
        <v>439</v>
      </c>
      <c r="C88" s="329"/>
      <c r="D88" s="383" t="s">
        <v>97</v>
      </c>
      <c r="E88" s="382" t="s">
        <v>505</v>
      </c>
      <c r="F88" s="384"/>
      <c r="G88" s="382" t="s">
        <v>506</v>
      </c>
      <c r="I88" s="384"/>
      <c r="J88" s="322" t="s">
        <v>507</v>
      </c>
      <c r="K88" s="321"/>
      <c r="L88" s="380"/>
    </row>
    <row r="89" spans="1:16" ht="16.5" thickBot="1">
      <c r="A89" s="326" t="s">
        <v>440</v>
      </c>
      <c r="C89" s="385" t="s">
        <v>508</v>
      </c>
      <c r="D89" s="321"/>
      <c r="E89" s="321"/>
      <c r="F89" s="321"/>
      <c r="G89" s="321"/>
      <c r="H89" s="321"/>
      <c r="I89" s="321"/>
      <c r="J89" s="321"/>
      <c r="K89" s="321"/>
      <c r="L89" s="386"/>
      <c r="M89" s="356"/>
      <c r="N89" s="356"/>
      <c r="O89" s="356"/>
    </row>
    <row r="90" spans="1:16">
      <c r="A90" s="322"/>
      <c r="C90" s="329"/>
      <c r="D90" s="321"/>
      <c r="E90" s="321"/>
      <c r="F90" s="321"/>
      <c r="G90" s="321"/>
      <c r="H90" s="321"/>
      <c r="I90" s="321"/>
      <c r="J90" s="321"/>
      <c r="K90" s="321"/>
      <c r="L90" s="387"/>
      <c r="M90" s="356"/>
      <c r="N90" s="388"/>
      <c r="O90" s="388"/>
    </row>
    <row r="91" spans="1:16">
      <c r="A91" s="322"/>
      <c r="C91" s="389" t="s">
        <v>509</v>
      </c>
      <c r="D91" s="390"/>
      <c r="E91" s="321"/>
      <c r="F91" s="321"/>
      <c r="G91" s="321"/>
      <c r="H91" s="321"/>
      <c r="I91" s="321"/>
      <c r="J91" s="321"/>
      <c r="K91" s="321"/>
      <c r="L91" s="387"/>
      <c r="M91" s="356"/>
      <c r="N91" s="388"/>
      <c r="O91" s="388"/>
    </row>
    <row r="92" spans="1:16">
      <c r="A92" s="322">
        <v>1</v>
      </c>
      <c r="C92" s="329" t="s">
        <v>510</v>
      </c>
      <c r="D92" s="330" t="s">
        <v>44</v>
      </c>
      <c r="E92" s="334">
        <v>512757495</v>
      </c>
      <c r="F92" s="321"/>
      <c r="G92" s="321" t="s">
        <v>511</v>
      </c>
      <c r="H92" s="391" t="s">
        <v>145</v>
      </c>
      <c r="I92" s="321"/>
      <c r="J92" s="321" t="s">
        <v>145</v>
      </c>
      <c r="K92" s="321"/>
      <c r="L92" s="392"/>
      <c r="M92" s="356"/>
      <c r="N92" s="392"/>
      <c r="O92" s="392"/>
    </row>
    <row r="93" spans="1:16">
      <c r="A93" s="322">
        <v>2</v>
      </c>
      <c r="C93" s="329" t="s">
        <v>512</v>
      </c>
      <c r="D93" s="330" t="s">
        <v>50</v>
      </c>
      <c r="E93" s="334">
        <v>202507883</v>
      </c>
      <c r="F93" s="321"/>
      <c r="G93" s="321" t="s">
        <v>448</v>
      </c>
      <c r="H93" s="391">
        <f>J251</f>
        <v>0.95223595320484389</v>
      </c>
      <c r="I93" s="321"/>
      <c r="J93" s="321">
        <f>+H93*E93</f>
        <v>192835287</v>
      </c>
      <c r="K93" s="321"/>
      <c r="L93" s="386"/>
      <c r="M93" s="356"/>
      <c r="N93" s="392"/>
      <c r="O93" s="392"/>
      <c r="P93" s="374"/>
    </row>
    <row r="94" spans="1:16">
      <c r="A94" s="322">
        <v>3</v>
      </c>
      <c r="C94" s="329" t="s">
        <v>513</v>
      </c>
      <c r="D94" s="330" t="s">
        <v>51</v>
      </c>
      <c r="E94" s="334">
        <v>275198077</v>
      </c>
      <c r="F94" s="321"/>
      <c r="G94" s="321" t="s">
        <v>511</v>
      </c>
      <c r="H94" s="391" t="s">
        <v>145</v>
      </c>
      <c r="I94" s="321"/>
      <c r="J94" s="321" t="s">
        <v>145</v>
      </c>
      <c r="K94" s="321"/>
      <c r="L94" s="386"/>
      <c r="M94" s="356"/>
      <c r="N94" s="392"/>
      <c r="O94" s="392"/>
    </row>
    <row r="95" spans="1:16">
      <c r="A95" s="322">
        <v>4</v>
      </c>
      <c r="C95" s="329" t="s">
        <v>514</v>
      </c>
      <c r="D95" s="330" t="s">
        <v>515</v>
      </c>
      <c r="E95" s="334">
        <v>30882640</v>
      </c>
      <c r="F95" s="321"/>
      <c r="G95" s="321" t="s">
        <v>516</v>
      </c>
      <c r="H95" s="391">
        <f>J269</f>
        <v>0.14360551410912187</v>
      </c>
      <c r="I95" s="321"/>
      <c r="J95" s="321">
        <f>+H95*E95</f>
        <v>4434917.3942469312</v>
      </c>
      <c r="K95" s="321"/>
      <c r="L95" s="386"/>
      <c r="M95" s="356"/>
      <c r="N95" s="392"/>
      <c r="O95" s="392"/>
    </row>
    <row r="96" spans="1:16" ht="16.5" thickBot="1">
      <c r="A96" s="322">
        <v>5</v>
      </c>
      <c r="C96" s="329" t="s">
        <v>517</v>
      </c>
      <c r="D96" s="330" t="s">
        <v>518</v>
      </c>
      <c r="E96" s="393">
        <v>107742261</v>
      </c>
      <c r="F96" s="321"/>
      <c r="G96" s="321" t="s">
        <v>519</v>
      </c>
      <c r="H96" s="391">
        <f>L274</f>
        <v>0.10198774708837706</v>
      </c>
      <c r="I96" s="321"/>
      <c r="J96" s="337">
        <f>+H96*E96</f>
        <v>10988390.465597911</v>
      </c>
      <c r="K96" s="321"/>
      <c r="L96" s="386"/>
      <c r="M96" s="356"/>
      <c r="N96" s="392"/>
      <c r="O96" s="392"/>
    </row>
    <row r="97" spans="1:15">
      <c r="A97" s="322">
        <v>6</v>
      </c>
      <c r="C97" s="310" t="s">
        <v>520</v>
      </c>
      <c r="D97" s="330"/>
      <c r="E97" s="321">
        <f>SUM(E92:E96)</f>
        <v>1129088356</v>
      </c>
      <c r="F97" s="321"/>
      <c r="G97" s="321" t="s">
        <v>521</v>
      </c>
      <c r="H97" s="394">
        <f>IF(J97&gt;0,J97/E97,0)</f>
        <v>0.18444844794754472</v>
      </c>
      <c r="I97" s="321"/>
      <c r="J97" s="321">
        <f>SUM(J92:J96)</f>
        <v>208258594.85984483</v>
      </c>
      <c r="K97" s="321"/>
      <c r="L97" s="386"/>
      <c r="M97" s="356"/>
      <c r="N97" s="392"/>
      <c r="O97" s="392"/>
    </row>
    <row r="98" spans="1:15">
      <c r="C98" s="329"/>
      <c r="D98" s="321"/>
      <c r="E98" s="321"/>
      <c r="F98" s="321"/>
      <c r="G98" s="321"/>
      <c r="H98" s="394"/>
      <c r="I98" s="321"/>
      <c r="J98" s="321"/>
      <c r="K98" s="321"/>
      <c r="L98" s="386"/>
      <c r="M98" s="356"/>
      <c r="N98" s="392"/>
      <c r="O98" s="392"/>
    </row>
    <row r="99" spans="1:15">
      <c r="C99" s="389" t="s">
        <v>522</v>
      </c>
      <c r="D99" s="321"/>
      <c r="E99" s="321"/>
      <c r="F99" s="321"/>
      <c r="G99" s="321"/>
      <c r="H99" s="321"/>
      <c r="I99" s="321"/>
      <c r="J99" s="321"/>
      <c r="K99" s="321"/>
      <c r="L99" s="386"/>
      <c r="M99" s="356"/>
      <c r="N99" s="392"/>
      <c r="O99" s="392"/>
    </row>
    <row r="100" spans="1:15">
      <c r="A100" s="322">
        <v>7</v>
      </c>
      <c r="C100" s="329" t="str">
        <f>+C92</f>
        <v xml:space="preserve">  Production</v>
      </c>
      <c r="D100" s="321" t="s">
        <v>57</v>
      </c>
      <c r="E100" s="334">
        <v>261311187</v>
      </c>
      <c r="F100" s="321"/>
      <c r="G100" s="321" t="str">
        <f>+G92</f>
        <v>NA</v>
      </c>
      <c r="H100" s="391" t="str">
        <f>+H92</f>
        <v xml:space="preserve"> </v>
      </c>
      <c r="I100" s="321"/>
      <c r="J100" s="321" t="s">
        <v>145</v>
      </c>
      <c r="K100" s="321"/>
      <c r="L100" s="386"/>
      <c r="M100" s="356"/>
      <c r="N100" s="392"/>
      <c r="O100" s="392"/>
    </row>
    <row r="101" spans="1:15">
      <c r="A101" s="322">
        <v>8</v>
      </c>
      <c r="C101" s="329" t="str">
        <f>+C93</f>
        <v xml:space="preserve">  Transmission</v>
      </c>
      <c r="D101" s="321" t="s">
        <v>58</v>
      </c>
      <c r="E101" s="334">
        <v>89879767</v>
      </c>
      <c r="F101" s="321"/>
      <c r="G101" s="321" t="str">
        <f t="shared" ref="G101:H104" si="1">+G93</f>
        <v>TP</v>
      </c>
      <c r="H101" s="391">
        <f t="shared" si="1"/>
        <v>0.95223595320484389</v>
      </c>
      <c r="I101" s="321"/>
      <c r="J101" s="321">
        <f>+H101*E101</f>
        <v>85586745.603074268</v>
      </c>
      <c r="K101" s="321"/>
      <c r="L101" s="386"/>
      <c r="M101" s="356"/>
      <c r="N101" s="392"/>
      <c r="O101" s="392"/>
    </row>
    <row r="102" spans="1:15">
      <c r="A102" s="322">
        <v>9</v>
      </c>
      <c r="C102" s="329" t="str">
        <f>+C94</f>
        <v xml:space="preserve">  Distribution</v>
      </c>
      <c r="D102" s="321" t="s">
        <v>59</v>
      </c>
      <c r="E102" s="334">
        <v>109118624</v>
      </c>
      <c r="F102" s="321"/>
      <c r="G102" s="321" t="str">
        <f t="shared" si="1"/>
        <v>NA</v>
      </c>
      <c r="H102" s="391" t="str">
        <f t="shared" si="1"/>
        <v xml:space="preserve"> </v>
      </c>
      <c r="I102" s="321"/>
      <c r="J102" s="321" t="s">
        <v>145</v>
      </c>
      <c r="K102" s="321"/>
      <c r="L102" s="386"/>
      <c r="M102" s="356"/>
      <c r="N102" s="392"/>
      <c r="O102" s="392"/>
    </row>
    <row r="103" spans="1:15">
      <c r="A103" s="322">
        <v>10</v>
      </c>
      <c r="C103" s="329" t="str">
        <f>+C95</f>
        <v xml:space="preserve">  General &amp; Intangible</v>
      </c>
      <c r="D103" s="321" t="s">
        <v>523</v>
      </c>
      <c r="E103" s="334">
        <v>13879778</v>
      </c>
      <c r="F103" s="321"/>
      <c r="G103" s="321" t="str">
        <f t="shared" si="1"/>
        <v>W/S</v>
      </c>
      <c r="H103" s="391">
        <f t="shared" si="1"/>
        <v>0.14360551410912187</v>
      </c>
      <c r="I103" s="321"/>
      <c r="J103" s="321">
        <f>+H103*E103</f>
        <v>1993212.6554104793</v>
      </c>
      <c r="K103" s="321"/>
      <c r="L103" s="386"/>
      <c r="M103" s="356"/>
      <c r="N103" s="392"/>
      <c r="O103" s="392"/>
    </row>
    <row r="104" spans="1:15" ht="16.5" thickBot="1">
      <c r="A104" s="322">
        <v>11</v>
      </c>
      <c r="C104" s="329" t="str">
        <f>+C96</f>
        <v xml:space="preserve">  Common</v>
      </c>
      <c r="D104" s="321" t="s">
        <v>518</v>
      </c>
      <c r="E104" s="393">
        <v>40424355</v>
      </c>
      <c r="F104" s="321"/>
      <c r="G104" s="321" t="str">
        <f t="shared" si="1"/>
        <v>CE</v>
      </c>
      <c r="H104" s="391">
        <f t="shared" si="1"/>
        <v>0.10198774708837706</v>
      </c>
      <c r="I104" s="321"/>
      <c r="J104" s="337">
        <f>+H104*E104</f>
        <v>4122788.8939507706</v>
      </c>
      <c r="K104" s="321"/>
      <c r="L104" s="386"/>
      <c r="M104" s="356"/>
      <c r="N104" s="392"/>
      <c r="O104" s="392"/>
    </row>
    <row r="105" spans="1:15">
      <c r="A105" s="322">
        <v>12</v>
      </c>
      <c r="C105" s="329" t="s">
        <v>524</v>
      </c>
      <c r="D105" s="321"/>
      <c r="E105" s="321">
        <f>SUM(E100:E104)</f>
        <v>514613711</v>
      </c>
      <c r="F105" s="321"/>
      <c r="G105" s="321"/>
      <c r="H105" s="321"/>
      <c r="I105" s="321"/>
      <c r="J105" s="321">
        <f>SUM(J100:J104)</f>
        <v>91702747.152435526</v>
      </c>
      <c r="K105" s="321"/>
      <c r="L105" s="386"/>
      <c r="M105" s="356"/>
      <c r="N105" s="392"/>
      <c r="O105" s="392"/>
    </row>
    <row r="106" spans="1:15">
      <c r="A106" s="322"/>
      <c r="D106" s="321" t="s">
        <v>145</v>
      </c>
      <c r="F106" s="321"/>
      <c r="G106" s="321"/>
      <c r="H106" s="394"/>
      <c r="I106" s="321"/>
      <c r="K106" s="321"/>
      <c r="L106" s="386"/>
      <c r="M106" s="356"/>
      <c r="N106" s="392"/>
      <c r="O106" s="392"/>
    </row>
    <row r="107" spans="1:15">
      <c r="A107" s="322"/>
      <c r="C107" s="389" t="s">
        <v>525</v>
      </c>
      <c r="D107" s="321"/>
      <c r="E107" s="321"/>
      <c r="F107" s="321"/>
      <c r="G107" s="321"/>
      <c r="H107" s="321"/>
      <c r="I107" s="321"/>
      <c r="J107" s="321"/>
      <c r="K107" s="321"/>
      <c r="L107" s="321"/>
      <c r="N107" s="321"/>
      <c r="O107" s="321"/>
    </row>
    <row r="108" spans="1:15">
      <c r="A108" s="322">
        <v>13</v>
      </c>
      <c r="C108" s="329" t="str">
        <f>+C100</f>
        <v xml:space="preserve">  Production</v>
      </c>
      <c r="D108" s="321" t="s">
        <v>526</v>
      </c>
      <c r="E108" s="321">
        <f>E92-E100</f>
        <v>251446308</v>
      </c>
      <c r="F108" s="321"/>
      <c r="G108" s="321"/>
      <c r="H108" s="394"/>
      <c r="I108" s="321"/>
      <c r="J108" s="321" t="s">
        <v>145</v>
      </c>
      <c r="K108" s="321"/>
      <c r="L108" s="321"/>
      <c r="N108" s="321"/>
      <c r="O108" s="321"/>
    </row>
    <row r="109" spans="1:15">
      <c r="A109" s="322">
        <v>14</v>
      </c>
      <c r="C109" s="329" t="str">
        <f>+C101</f>
        <v xml:space="preserve">  Transmission</v>
      </c>
      <c r="D109" s="321" t="s">
        <v>527</v>
      </c>
      <c r="E109" s="321">
        <f>E93-E101</f>
        <v>112628116</v>
      </c>
      <c r="F109" s="321"/>
      <c r="G109" s="321"/>
      <c r="H109" s="391"/>
      <c r="I109" s="321"/>
      <c r="J109" s="321">
        <f>J93-J101</f>
        <v>107248541.39692573</v>
      </c>
      <c r="K109" s="321"/>
      <c r="L109" s="321"/>
      <c r="N109" s="321"/>
      <c r="O109" s="321"/>
    </row>
    <row r="110" spans="1:15">
      <c r="A110" s="322">
        <v>15</v>
      </c>
      <c r="C110" s="329" t="str">
        <f>+C102</f>
        <v xml:space="preserve">  Distribution</v>
      </c>
      <c r="D110" s="321" t="s">
        <v>528</v>
      </c>
      <c r="E110" s="321">
        <f>E94-E102</f>
        <v>166079453</v>
      </c>
      <c r="F110" s="321"/>
      <c r="G110" s="321"/>
      <c r="H110" s="394"/>
      <c r="I110" s="321"/>
      <c r="J110" s="321" t="s">
        <v>145</v>
      </c>
      <c r="K110" s="321"/>
      <c r="L110" s="321"/>
      <c r="N110" s="321"/>
      <c r="O110" s="321"/>
    </row>
    <row r="111" spans="1:15">
      <c r="A111" s="322">
        <v>16</v>
      </c>
      <c r="C111" s="329" t="str">
        <f>+C103</f>
        <v xml:space="preserve">  General &amp; Intangible</v>
      </c>
      <c r="D111" s="321" t="s">
        <v>529</v>
      </c>
      <c r="E111" s="321">
        <f>E95-E103</f>
        <v>17002862</v>
      </c>
      <c r="F111" s="321"/>
      <c r="G111" s="321"/>
      <c r="H111" s="394"/>
      <c r="I111" s="321"/>
      <c r="J111" s="321">
        <f>J95-J103</f>
        <v>2441704.7388364519</v>
      </c>
      <c r="K111" s="321"/>
      <c r="L111" s="321"/>
      <c r="N111" s="321"/>
      <c r="O111" s="321"/>
    </row>
    <row r="112" spans="1:15" ht="16.5" thickBot="1">
      <c r="A112" s="322">
        <v>17</v>
      </c>
      <c r="C112" s="329" t="str">
        <f>+C104</f>
        <v xml:space="preserve">  Common</v>
      </c>
      <c r="D112" s="321" t="s">
        <v>530</v>
      </c>
      <c r="E112" s="337">
        <f>E96-E104</f>
        <v>67317906</v>
      </c>
      <c r="F112" s="321"/>
      <c r="G112" s="321"/>
      <c r="H112" s="394"/>
      <c r="I112" s="321"/>
      <c r="J112" s="337">
        <f>J96-J104</f>
        <v>6865601.5716471402</v>
      </c>
      <c r="K112" s="321"/>
      <c r="L112" s="321"/>
      <c r="N112" s="321"/>
      <c r="O112" s="321"/>
    </row>
    <row r="113" spans="1:17">
      <c r="A113" s="322">
        <v>18</v>
      </c>
      <c r="C113" s="329" t="s">
        <v>531</v>
      </c>
      <c r="D113" s="321"/>
      <c r="E113" s="321">
        <f>SUM(E108:E112)</f>
        <v>614474645</v>
      </c>
      <c r="F113" s="321"/>
      <c r="G113" s="321" t="s">
        <v>532</v>
      </c>
      <c r="H113" s="394">
        <f>IF(J113&gt;0,J113/E113,0)</f>
        <v>0.18968373822390885</v>
      </c>
      <c r="I113" s="321"/>
      <c r="J113" s="321">
        <f>SUM(J108:J112)</f>
        <v>116555847.70740932</v>
      </c>
      <c r="K113" s="321"/>
      <c r="L113" s="321"/>
      <c r="N113" s="321"/>
      <c r="O113" s="321"/>
    </row>
    <row r="114" spans="1:17">
      <c r="A114" s="322"/>
      <c r="C114" s="329"/>
      <c r="D114" s="321"/>
      <c r="E114" s="321"/>
      <c r="F114" s="321"/>
      <c r="G114" s="321"/>
      <c r="H114" s="394"/>
      <c r="I114" s="321"/>
      <c r="J114" s="321"/>
      <c r="K114" s="321"/>
      <c r="L114" s="321"/>
      <c r="N114" s="321"/>
      <c r="O114" s="321"/>
    </row>
    <row r="115" spans="1:17">
      <c r="A115" s="340" t="s">
        <v>533</v>
      </c>
      <c r="C115" s="329" t="s">
        <v>534</v>
      </c>
      <c r="D115" s="321"/>
      <c r="E115" s="321"/>
      <c r="F115" s="321"/>
      <c r="G115" s="321"/>
      <c r="H115" s="394"/>
      <c r="I115" s="321"/>
      <c r="J115" s="321"/>
      <c r="K115" s="321"/>
      <c r="L115" s="321"/>
      <c r="N115" s="321"/>
      <c r="O115" s="321"/>
    </row>
    <row r="116" spans="1:17">
      <c r="B116" s="341"/>
      <c r="C116" s="389" t="s">
        <v>535</v>
      </c>
      <c r="D116" s="343" t="s">
        <v>536</v>
      </c>
      <c r="E116" s="395">
        <v>3599982</v>
      </c>
      <c r="F116" s="343"/>
      <c r="G116" s="343" t="s">
        <v>537</v>
      </c>
      <c r="H116" s="391">
        <v>1</v>
      </c>
      <c r="I116" s="343"/>
      <c r="J116" s="343">
        <f>E116</f>
        <v>3599982</v>
      </c>
      <c r="K116" s="321"/>
      <c r="L116" s="321"/>
      <c r="N116" s="321"/>
      <c r="O116" s="321"/>
    </row>
    <row r="117" spans="1:17">
      <c r="A117" s="322"/>
      <c r="D117" s="321"/>
      <c r="F117" s="321"/>
      <c r="I117" s="321"/>
      <c r="K117" s="321"/>
      <c r="L117" s="321"/>
      <c r="N117" s="321"/>
      <c r="O117" s="321"/>
    </row>
    <row r="118" spans="1:17">
      <c r="A118" s="322"/>
      <c r="C118" s="310" t="s">
        <v>538</v>
      </c>
      <c r="D118" s="390"/>
      <c r="E118" s="321"/>
      <c r="F118" s="321"/>
      <c r="G118" s="321"/>
      <c r="H118" s="321"/>
      <c r="I118" s="321"/>
      <c r="J118" s="321"/>
      <c r="K118" s="321"/>
      <c r="L118" s="321"/>
      <c r="N118" s="321"/>
      <c r="O118" s="321"/>
    </row>
    <row r="119" spans="1:17">
      <c r="A119" s="322">
        <v>19</v>
      </c>
      <c r="C119" s="389" t="s">
        <v>539</v>
      </c>
      <c r="D119" s="330" t="s">
        <v>117</v>
      </c>
      <c r="E119" s="396">
        <v>0</v>
      </c>
      <c r="F119" s="330"/>
      <c r="G119" s="330" t="str">
        <f>+G100</f>
        <v>NA</v>
      </c>
      <c r="H119" s="397" t="s">
        <v>540</v>
      </c>
      <c r="I119" s="321"/>
      <c r="J119" s="398">
        <v>0</v>
      </c>
      <c r="K119" s="321"/>
      <c r="L119" s="392"/>
      <c r="M119" s="356"/>
      <c r="N119" s="392"/>
      <c r="O119" s="392"/>
      <c r="P119" s="356"/>
      <c r="Q119" s="356"/>
    </row>
    <row r="120" spans="1:17">
      <c r="A120" s="322">
        <v>20</v>
      </c>
      <c r="C120" s="389" t="s">
        <v>541</v>
      </c>
      <c r="D120" s="330" t="s">
        <v>120</v>
      </c>
      <c r="E120" s="396">
        <v>-160807366</v>
      </c>
      <c r="F120" s="321"/>
      <c r="G120" s="321" t="s">
        <v>542</v>
      </c>
      <c r="H120" s="391">
        <f>+H113</f>
        <v>0.18968373822390885</v>
      </c>
      <c r="I120" s="321"/>
      <c r="J120" s="398">
        <f>E120*H120</f>
        <v>-30502542.316820301</v>
      </c>
      <c r="K120" s="321"/>
      <c r="L120" s="392"/>
      <c r="M120" s="356"/>
      <c r="N120" s="392"/>
      <c r="O120" s="392"/>
      <c r="P120" s="356"/>
      <c r="Q120" s="356"/>
    </row>
    <row r="121" spans="1:17">
      <c r="A121" s="322">
        <v>21</v>
      </c>
      <c r="C121" s="389" t="s">
        <v>543</v>
      </c>
      <c r="D121" s="330" t="s">
        <v>124</v>
      </c>
      <c r="E121" s="399">
        <v>-19706035</v>
      </c>
      <c r="F121" s="321"/>
      <c r="G121" s="321" t="s">
        <v>542</v>
      </c>
      <c r="H121" s="391">
        <f>+H120</f>
        <v>0.18968373822390885</v>
      </c>
      <c r="I121" s="321"/>
      <c r="J121" s="398">
        <f>E121*H121</f>
        <v>-3737914.3843711857</v>
      </c>
      <c r="K121" s="321"/>
      <c r="L121" s="392"/>
      <c r="M121" s="356"/>
      <c r="N121" s="392"/>
      <c r="O121" s="392"/>
      <c r="P121" s="356"/>
      <c r="Q121" s="356"/>
    </row>
    <row r="122" spans="1:17">
      <c r="A122" s="322">
        <v>22</v>
      </c>
      <c r="C122" s="389" t="s">
        <v>544</v>
      </c>
      <c r="D122" s="330" t="s">
        <v>128</v>
      </c>
      <c r="E122" s="399">
        <v>15068316</v>
      </c>
      <c r="F122" s="321"/>
      <c r="G122" s="321" t="str">
        <f>+G121</f>
        <v>NP</v>
      </c>
      <c r="H122" s="391">
        <f>+H121</f>
        <v>0.18968373822390885</v>
      </c>
      <c r="I122" s="321"/>
      <c r="J122" s="398">
        <f>E122*H122</f>
        <v>2858214.5076191374</v>
      </c>
      <c r="K122" s="321"/>
      <c r="L122" s="392"/>
      <c r="M122" s="356"/>
      <c r="N122" s="392"/>
      <c r="O122" s="392"/>
      <c r="P122" s="356"/>
      <c r="Q122" s="356"/>
    </row>
    <row r="123" spans="1:17">
      <c r="A123" s="322">
        <v>23</v>
      </c>
      <c r="C123" s="341" t="s">
        <v>545</v>
      </c>
      <c r="D123" s="374" t="s">
        <v>546</v>
      </c>
      <c r="E123" s="399">
        <v>-1589533</v>
      </c>
      <c r="F123" s="321"/>
      <c r="G123" s="321" t="s">
        <v>542</v>
      </c>
      <c r="H123" s="391">
        <f>+H121</f>
        <v>0.18968373822390885</v>
      </c>
      <c r="I123" s="321"/>
      <c r="J123" s="400">
        <f>E123*H123</f>
        <v>-301508.56147026451</v>
      </c>
      <c r="K123" s="321"/>
      <c r="L123" s="392"/>
      <c r="M123" s="356"/>
      <c r="N123" s="392"/>
      <c r="O123" s="392"/>
      <c r="P123" s="356"/>
      <c r="Q123" s="356"/>
    </row>
    <row r="124" spans="1:17">
      <c r="A124" s="322" t="s">
        <v>547</v>
      </c>
      <c r="C124" s="341" t="s">
        <v>548</v>
      </c>
      <c r="D124" s="374"/>
      <c r="E124" s="399"/>
      <c r="F124" s="321"/>
      <c r="G124" s="321"/>
      <c r="H124" s="391"/>
      <c r="I124" s="321"/>
      <c r="J124" s="400"/>
      <c r="K124" s="321"/>
      <c r="L124" s="392"/>
      <c r="M124" s="356"/>
      <c r="N124" s="392"/>
      <c r="O124" s="392"/>
      <c r="P124" s="356"/>
      <c r="Q124" s="356"/>
    </row>
    <row r="125" spans="1:17">
      <c r="A125" s="340" t="s">
        <v>549</v>
      </c>
      <c r="C125" s="341" t="s">
        <v>550</v>
      </c>
      <c r="D125" s="341" t="s">
        <v>551</v>
      </c>
      <c r="E125" s="401">
        <v>0</v>
      </c>
      <c r="F125" s="321"/>
      <c r="G125" s="343" t="s">
        <v>537</v>
      </c>
      <c r="H125" s="391">
        <v>1</v>
      </c>
      <c r="I125" s="343"/>
      <c r="J125" s="402">
        <f>E125*H125</f>
        <v>0</v>
      </c>
      <c r="K125" s="321"/>
      <c r="L125" s="392"/>
      <c r="M125" s="356"/>
      <c r="N125" s="392"/>
      <c r="O125" s="392"/>
      <c r="P125" s="356"/>
      <c r="Q125" s="356"/>
    </row>
    <row r="126" spans="1:17">
      <c r="A126" s="322">
        <v>24</v>
      </c>
      <c r="C126" s="389" t="s">
        <v>552</v>
      </c>
      <c r="D126" s="321"/>
      <c r="E126" s="398">
        <f>SUM(E119:E125)</f>
        <v>-167034618</v>
      </c>
      <c r="F126" s="321"/>
      <c r="G126" s="321"/>
      <c r="H126" s="321"/>
      <c r="I126" s="321"/>
      <c r="J126" s="398">
        <f>SUM(J119:J125)</f>
        <v>-31683750.755042609</v>
      </c>
      <c r="K126" s="321"/>
      <c r="L126" s="392"/>
      <c r="M126" s="356"/>
      <c r="N126" s="392"/>
      <c r="O126" s="392"/>
      <c r="P126" s="356"/>
      <c r="Q126" s="356"/>
    </row>
    <row r="127" spans="1:17">
      <c r="A127" s="322"/>
      <c r="D127" s="321"/>
      <c r="F127" s="321"/>
      <c r="G127" s="321"/>
      <c r="H127" s="394"/>
      <c r="I127" s="321"/>
      <c r="K127" s="321"/>
      <c r="L127" s="392"/>
      <c r="M127" s="356"/>
      <c r="N127" s="392"/>
      <c r="O127" s="392"/>
      <c r="P127" s="356"/>
      <c r="Q127" s="356"/>
    </row>
    <row r="128" spans="1:17">
      <c r="A128" s="322">
        <v>25</v>
      </c>
      <c r="C128" s="403" t="s">
        <v>553</v>
      </c>
      <c r="D128" s="321" t="s">
        <v>554</v>
      </c>
      <c r="E128" s="334">
        <v>0</v>
      </c>
      <c r="F128" s="321"/>
      <c r="G128" s="321" t="str">
        <f>+G101</f>
        <v>TP</v>
      </c>
      <c r="H128" s="391">
        <f>+H101</f>
        <v>0.95223595320484389</v>
      </c>
      <c r="I128" s="321"/>
      <c r="J128" s="321">
        <f>+H128*E128</f>
        <v>0</v>
      </c>
      <c r="K128" s="321"/>
      <c r="L128" s="392"/>
      <c r="M128" s="356"/>
      <c r="N128" s="392"/>
      <c r="O128" s="392"/>
      <c r="P128" s="356"/>
      <c r="Q128" s="356"/>
    </row>
    <row r="129" spans="1:17">
      <c r="A129" s="322"/>
      <c r="C129" s="329"/>
      <c r="D129" s="321"/>
      <c r="E129" s="321"/>
      <c r="F129" s="321"/>
      <c r="G129" s="321"/>
      <c r="H129" s="321"/>
      <c r="I129" s="321"/>
      <c r="J129" s="321"/>
      <c r="K129" s="321"/>
      <c r="L129" s="392"/>
      <c r="M129" s="356"/>
      <c r="N129" s="392"/>
      <c r="O129" s="392"/>
      <c r="P129" s="356"/>
      <c r="Q129" s="356"/>
    </row>
    <row r="130" spans="1:17">
      <c r="A130" s="322"/>
      <c r="C130" s="329" t="s">
        <v>555</v>
      </c>
      <c r="D130" s="390"/>
      <c r="E130" s="321"/>
      <c r="F130" s="321"/>
      <c r="G130" s="321"/>
      <c r="H130" s="321"/>
      <c r="I130" s="321"/>
      <c r="J130" s="321"/>
      <c r="K130" s="321"/>
      <c r="L130" s="392"/>
      <c r="M130" s="356"/>
      <c r="N130" s="392"/>
      <c r="O130" s="392"/>
      <c r="P130" s="356"/>
      <c r="Q130" s="356"/>
    </row>
    <row r="131" spans="1:17">
      <c r="A131" s="322">
        <v>26</v>
      </c>
      <c r="C131" s="329" t="s">
        <v>556</v>
      </c>
      <c r="D131" s="309" t="s">
        <v>557</v>
      </c>
      <c r="E131" s="321">
        <f>+E181/8</f>
        <v>3293319.125</v>
      </c>
      <c r="F131" s="321"/>
      <c r="G131" s="321"/>
      <c r="H131" s="394"/>
      <c r="I131" s="321"/>
      <c r="J131" s="321">
        <f>+J181/8</f>
        <v>1190299.2238804323</v>
      </c>
      <c r="K131" s="316"/>
      <c r="L131" s="392"/>
      <c r="M131" s="356"/>
      <c r="N131" s="392"/>
      <c r="O131" s="392"/>
      <c r="P131" s="356"/>
      <c r="Q131" s="356"/>
    </row>
    <row r="132" spans="1:17">
      <c r="A132" s="322">
        <v>27</v>
      </c>
      <c r="C132" s="389" t="s">
        <v>558</v>
      </c>
      <c r="D132" s="321" t="s">
        <v>559</v>
      </c>
      <c r="E132" s="334">
        <v>71501</v>
      </c>
      <c r="F132" s="321"/>
      <c r="G132" s="321" t="s">
        <v>560</v>
      </c>
      <c r="H132" s="391">
        <f>J261</f>
        <v>0.85328951497794769</v>
      </c>
      <c r="I132" s="321"/>
      <c r="J132" s="321">
        <f>+H132*E132</f>
        <v>61011.053610438241</v>
      </c>
      <c r="K132" s="321" t="s">
        <v>145</v>
      </c>
      <c r="L132" s="392"/>
      <c r="M132" s="356"/>
      <c r="N132" s="392"/>
      <c r="O132" s="392"/>
      <c r="P132" s="356"/>
      <c r="Q132" s="356"/>
    </row>
    <row r="133" spans="1:17" ht="16.5" thickBot="1">
      <c r="A133" s="322">
        <v>28</v>
      </c>
      <c r="C133" s="389" t="s">
        <v>561</v>
      </c>
      <c r="D133" s="321" t="s">
        <v>562</v>
      </c>
      <c r="E133" s="393">
        <v>1828208</v>
      </c>
      <c r="F133" s="321"/>
      <c r="G133" s="321" t="s">
        <v>563</v>
      </c>
      <c r="H133" s="391">
        <f>+H97</f>
        <v>0.18444844794754472</v>
      </c>
      <c r="I133" s="321"/>
      <c r="J133" s="337">
        <f>+H133*E133</f>
        <v>337210.12812528486</v>
      </c>
      <c r="K133" s="321"/>
      <c r="L133" s="321"/>
      <c r="N133" s="321"/>
      <c r="O133" s="321"/>
    </row>
    <row r="134" spans="1:17">
      <c r="A134" s="322">
        <v>29</v>
      </c>
      <c r="C134" s="329" t="s">
        <v>564</v>
      </c>
      <c r="D134" s="316"/>
      <c r="E134" s="321">
        <f>E131+E132+E133</f>
        <v>5193028.125</v>
      </c>
      <c r="F134" s="316"/>
      <c r="G134" s="316"/>
      <c r="H134" s="316"/>
      <c r="I134" s="316"/>
      <c r="J134" s="321">
        <f>J131+J132+J133</f>
        <v>1588520.4056161554</v>
      </c>
      <c r="K134" s="316"/>
      <c r="L134" s="321"/>
      <c r="N134" s="321"/>
      <c r="O134" s="321"/>
    </row>
    <row r="135" spans="1:17" ht="16.5" thickBot="1">
      <c r="D135" s="321"/>
      <c r="E135" s="404"/>
      <c r="F135" s="321"/>
      <c r="G135" s="321"/>
      <c r="H135" s="321"/>
      <c r="I135" s="321"/>
      <c r="J135" s="404"/>
      <c r="K135" s="321"/>
      <c r="L135" s="321"/>
      <c r="N135" s="321"/>
      <c r="O135" s="321"/>
    </row>
    <row r="136" spans="1:17" ht="16.5" thickBot="1">
      <c r="A136" s="322">
        <v>30</v>
      </c>
      <c r="C136" s="405" t="s">
        <v>565</v>
      </c>
      <c r="D136" s="321"/>
      <c r="E136" s="406">
        <f>+E134+E128+E126+E113+E116</f>
        <v>456233037.125</v>
      </c>
      <c r="F136" s="321"/>
      <c r="G136" s="321"/>
      <c r="H136" s="394"/>
      <c r="I136" s="321"/>
      <c r="J136" s="406">
        <f>+J134+J128+J126+J113+J116</f>
        <v>90060599.357982874</v>
      </c>
      <c r="K136" s="321"/>
      <c r="L136" s="321"/>
      <c r="N136" s="321"/>
      <c r="O136" s="321"/>
    </row>
    <row r="137" spans="1:17" ht="16.5" thickTop="1">
      <c r="A137" s="322"/>
      <c r="C137" s="329"/>
      <c r="D137" s="321"/>
      <c r="E137" s="392"/>
      <c r="F137" s="321"/>
      <c r="G137" s="321"/>
      <c r="H137" s="394"/>
      <c r="I137" s="321"/>
      <c r="J137" s="392"/>
      <c r="K137" s="321"/>
      <c r="L137" s="407"/>
    </row>
    <row r="138" spans="1:17">
      <c r="A138" s="322"/>
      <c r="C138" s="329"/>
      <c r="D138" s="321"/>
      <c r="E138" s="392"/>
      <c r="F138" s="321"/>
      <c r="G138" s="321"/>
      <c r="H138" s="394"/>
      <c r="I138" s="321"/>
      <c r="J138" s="392"/>
      <c r="K138" s="321"/>
      <c r="L138" s="407"/>
    </row>
    <row r="139" spans="1:17">
      <c r="A139" s="322"/>
      <c r="C139" s="329"/>
      <c r="D139" s="321"/>
      <c r="E139" s="392"/>
      <c r="F139" s="321"/>
      <c r="G139" s="321"/>
      <c r="H139" s="394"/>
      <c r="I139" s="321"/>
      <c r="J139" s="392"/>
      <c r="K139" s="321"/>
      <c r="L139" s="407"/>
    </row>
    <row r="140" spans="1:17">
      <c r="A140" s="322"/>
      <c r="C140" s="329"/>
      <c r="D140" s="321"/>
      <c r="E140" s="392"/>
      <c r="F140" s="321"/>
      <c r="G140" s="321"/>
      <c r="H140" s="394"/>
      <c r="I140" s="321"/>
      <c r="J140" s="392"/>
      <c r="K140" s="321"/>
      <c r="L140" s="407"/>
    </row>
    <row r="141" spans="1:17">
      <c r="A141" s="322"/>
      <c r="C141" s="329"/>
      <c r="D141" s="321"/>
      <c r="E141" s="392"/>
      <c r="F141" s="321"/>
      <c r="G141" s="321"/>
      <c r="H141" s="394"/>
      <c r="I141" s="321"/>
      <c r="J141" s="392"/>
      <c r="K141" s="321"/>
      <c r="L141" s="407"/>
    </row>
    <row r="142" spans="1:17">
      <c r="A142" s="322"/>
      <c r="C142" s="329"/>
      <c r="D142" s="321"/>
      <c r="E142" s="392"/>
      <c r="F142" s="321"/>
      <c r="G142" s="321"/>
      <c r="H142" s="394"/>
      <c r="I142" s="321"/>
      <c r="J142" s="392"/>
      <c r="K142" s="321"/>
      <c r="L142" s="407"/>
    </row>
    <row r="143" spans="1:17">
      <c r="A143" s="322"/>
      <c r="C143" s="329"/>
      <c r="D143" s="321"/>
      <c r="E143" s="392"/>
      <c r="F143" s="321"/>
      <c r="G143" s="321"/>
      <c r="H143" s="394"/>
      <c r="I143" s="321"/>
      <c r="J143" s="392"/>
      <c r="K143" s="321"/>
      <c r="L143" s="407"/>
    </row>
    <row r="144" spans="1:17">
      <c r="A144" s="322"/>
      <c r="C144" s="329"/>
      <c r="D144" s="321"/>
      <c r="E144" s="392"/>
      <c r="F144" s="321"/>
      <c r="G144" s="321"/>
      <c r="H144" s="394"/>
      <c r="I144" s="321"/>
      <c r="J144" s="392"/>
      <c r="K144" s="321"/>
      <c r="L144" s="407"/>
    </row>
    <row r="145" spans="1:12">
      <c r="A145" s="322"/>
      <c r="C145" s="329"/>
      <c r="D145" s="321"/>
      <c r="E145" s="392"/>
      <c r="F145" s="321"/>
      <c r="G145" s="321"/>
      <c r="H145" s="394"/>
      <c r="I145" s="321"/>
      <c r="J145" s="392"/>
      <c r="K145" s="321"/>
      <c r="L145" s="407"/>
    </row>
    <row r="146" spans="1:12">
      <c r="A146" s="322"/>
      <c r="C146" s="329"/>
      <c r="D146" s="321"/>
      <c r="E146" s="392"/>
      <c r="F146" s="321"/>
      <c r="G146" s="321"/>
      <c r="H146" s="394"/>
      <c r="I146" s="321"/>
      <c r="J146" s="392"/>
      <c r="K146" s="321"/>
      <c r="L146" s="407"/>
    </row>
    <row r="147" spans="1:12">
      <c r="A147" s="322"/>
      <c r="C147" s="329"/>
      <c r="D147" s="321"/>
      <c r="E147" s="392"/>
      <c r="F147" s="321"/>
      <c r="G147" s="321"/>
      <c r="H147" s="394"/>
      <c r="I147" s="321"/>
      <c r="J147" s="392"/>
      <c r="K147" s="321"/>
      <c r="L147" s="407"/>
    </row>
    <row r="148" spans="1:12">
      <c r="A148" s="322"/>
      <c r="C148" s="329"/>
      <c r="D148" s="321"/>
      <c r="E148" s="392"/>
      <c r="F148" s="321"/>
      <c r="G148" s="321"/>
      <c r="H148" s="394"/>
      <c r="I148" s="321"/>
      <c r="J148" s="392"/>
      <c r="K148" s="321"/>
      <c r="L148" s="407"/>
    </row>
    <row r="149" spans="1:12">
      <c r="A149" s="322"/>
      <c r="C149" s="329"/>
      <c r="D149" s="321"/>
      <c r="E149" s="392"/>
      <c r="F149" s="321"/>
      <c r="G149" s="321"/>
      <c r="H149" s="394"/>
      <c r="I149" s="321"/>
      <c r="J149" s="392"/>
      <c r="K149" s="321"/>
      <c r="L149" s="407"/>
    </row>
    <row r="150" spans="1:12">
      <c r="A150" s="322"/>
      <c r="C150" s="329"/>
      <c r="D150" s="321"/>
      <c r="E150" s="392"/>
      <c r="F150" s="321"/>
      <c r="G150" s="321"/>
      <c r="H150" s="394"/>
      <c r="I150" s="321"/>
      <c r="J150" s="392"/>
      <c r="K150" s="321"/>
      <c r="L150" s="407"/>
    </row>
    <row r="151" spans="1:12">
      <c r="A151" s="322"/>
      <c r="C151" s="329"/>
      <c r="D151" s="321"/>
      <c r="E151" s="392"/>
      <c r="F151" s="321"/>
      <c r="G151" s="321"/>
      <c r="H151" s="394"/>
      <c r="I151" s="321"/>
      <c r="J151" s="392"/>
      <c r="K151" s="321"/>
      <c r="L151" s="407"/>
    </row>
    <row r="152" spans="1:12">
      <c r="A152" s="322"/>
      <c r="C152" s="329"/>
      <c r="D152" s="321"/>
      <c r="E152" s="392"/>
      <c r="F152" s="321"/>
      <c r="G152" s="321"/>
      <c r="H152" s="394"/>
      <c r="I152" s="321"/>
      <c r="J152" s="392"/>
      <c r="K152" s="321"/>
      <c r="L152" s="407"/>
    </row>
    <row r="153" spans="1:12">
      <c r="A153" s="322"/>
      <c r="C153" s="329"/>
      <c r="D153" s="321"/>
      <c r="E153" s="392"/>
      <c r="F153" s="321"/>
      <c r="G153" s="321"/>
      <c r="H153" s="394"/>
      <c r="I153" s="321"/>
      <c r="J153" s="392"/>
      <c r="K153" s="321"/>
      <c r="L153" s="407"/>
    </row>
    <row r="154" spans="1:12">
      <c r="A154" s="322"/>
      <c r="C154" s="329"/>
      <c r="D154" s="321"/>
      <c r="E154" s="392"/>
      <c r="F154" s="321"/>
      <c r="G154" s="321"/>
      <c r="H154" s="394"/>
      <c r="I154" s="321"/>
      <c r="J154" s="392"/>
      <c r="K154" s="321"/>
      <c r="L154" s="407"/>
    </row>
    <row r="155" spans="1:12">
      <c r="A155" s="322"/>
      <c r="C155" s="329"/>
      <c r="D155" s="321"/>
      <c r="E155" s="392"/>
      <c r="F155" s="321"/>
      <c r="G155" s="321"/>
      <c r="H155" s="394"/>
      <c r="I155" s="321"/>
      <c r="J155" s="392"/>
      <c r="K155" s="321"/>
      <c r="L155" s="407"/>
    </row>
    <row r="156" spans="1:12">
      <c r="C156" s="310"/>
      <c r="D156" s="310"/>
      <c r="E156" s="311"/>
      <c r="F156" s="310"/>
      <c r="G156" s="310"/>
      <c r="H156" s="310"/>
      <c r="I156" s="312"/>
      <c r="J156" s="322"/>
      <c r="K156" s="322"/>
      <c r="L156" s="314"/>
    </row>
    <row r="157" spans="1:12">
      <c r="C157" s="310"/>
      <c r="D157" s="310"/>
      <c r="E157" s="311"/>
      <c r="F157" s="310"/>
      <c r="G157" s="310"/>
      <c r="H157" s="310"/>
      <c r="I157" s="312"/>
      <c r="J157" s="313"/>
      <c r="K157" s="313"/>
      <c r="L157" s="314"/>
    </row>
    <row r="158" spans="1:12">
      <c r="C158" s="310"/>
      <c r="D158" s="310"/>
      <c r="E158" s="311"/>
      <c r="F158" s="310"/>
      <c r="G158" s="310"/>
      <c r="H158" s="310"/>
      <c r="I158" s="312"/>
      <c r="J158" s="313"/>
      <c r="K158" s="313"/>
      <c r="L158" s="314"/>
    </row>
    <row r="159" spans="1:12">
      <c r="C159" s="310"/>
      <c r="D159" s="310"/>
      <c r="E159" s="311"/>
      <c r="F159" s="310"/>
      <c r="G159" s="310"/>
      <c r="H159" s="310"/>
      <c r="I159" s="312"/>
      <c r="J159" s="312"/>
      <c r="L159" s="315" t="s">
        <v>1</v>
      </c>
    </row>
    <row r="160" spans="1:12">
      <c r="C160" s="310"/>
      <c r="D160" s="310"/>
      <c r="E160" s="311"/>
      <c r="F160" s="310"/>
      <c r="G160" s="310"/>
      <c r="H160" s="310"/>
      <c r="I160" s="312"/>
      <c r="J160" s="312"/>
      <c r="K160" s="316"/>
      <c r="L160" s="317" t="s">
        <v>566</v>
      </c>
    </row>
    <row r="161" spans="1:15">
      <c r="C161" s="310"/>
      <c r="D161" s="310"/>
      <c r="E161" s="311"/>
      <c r="F161" s="310"/>
      <c r="G161" s="310"/>
      <c r="H161" s="310"/>
      <c r="I161" s="312"/>
      <c r="J161" s="312"/>
      <c r="K161" s="316"/>
      <c r="L161" s="317"/>
    </row>
    <row r="162" spans="1:15">
      <c r="C162" s="310" t="s">
        <v>435</v>
      </c>
      <c r="D162" s="310"/>
      <c r="E162" s="311" t="s">
        <v>436</v>
      </c>
      <c r="F162" s="310"/>
      <c r="G162" s="310"/>
      <c r="H162" s="310"/>
      <c r="I162" s="312"/>
      <c r="J162" s="319" t="str">
        <f>J5</f>
        <v>For the 12 months ended 12/31/14</v>
      </c>
      <c r="K162" s="320"/>
      <c r="L162" s="320"/>
    </row>
    <row r="163" spans="1:15">
      <c r="C163" s="310"/>
      <c r="D163" s="321" t="s">
        <v>145</v>
      </c>
      <c r="E163" s="321" t="s">
        <v>438</v>
      </c>
      <c r="F163" s="321"/>
      <c r="G163" s="321"/>
      <c r="H163" s="321"/>
      <c r="I163" s="312"/>
      <c r="J163" s="312"/>
      <c r="K163" s="316"/>
      <c r="L163" s="318"/>
    </row>
    <row r="164" spans="1:15">
      <c r="C164" s="310"/>
      <c r="D164" s="321"/>
      <c r="E164" s="321"/>
      <c r="F164" s="321"/>
      <c r="G164" s="321"/>
      <c r="H164" s="321"/>
      <c r="I164" s="312"/>
      <c r="J164" s="312"/>
      <c r="K164" s="316"/>
      <c r="L164" s="318"/>
    </row>
    <row r="165" spans="1:15">
      <c r="A165" s="322"/>
      <c r="E165" s="323" t="str">
        <f>E8</f>
        <v>Montana-Dakota Utilities Co.</v>
      </c>
      <c r="F165" s="324"/>
      <c r="G165" s="324"/>
      <c r="K165" s="321"/>
      <c r="L165" s="330"/>
    </row>
    <row r="166" spans="1:15">
      <c r="A166" s="322"/>
      <c r="C166" s="377" t="s">
        <v>499</v>
      </c>
      <c r="D166" s="377" t="s">
        <v>500</v>
      </c>
      <c r="E166" s="377" t="s">
        <v>501</v>
      </c>
      <c r="F166" s="321" t="s">
        <v>145</v>
      </c>
      <c r="G166" s="321"/>
      <c r="H166" s="378" t="s">
        <v>502</v>
      </c>
      <c r="I166" s="321"/>
      <c r="J166" s="379" t="s">
        <v>503</v>
      </c>
      <c r="K166" s="321"/>
      <c r="L166" s="330"/>
    </row>
    <row r="167" spans="1:15">
      <c r="A167" s="322"/>
      <c r="C167" s="377"/>
      <c r="D167" s="312"/>
      <c r="E167" s="312"/>
      <c r="F167" s="312"/>
      <c r="G167" s="312"/>
      <c r="H167" s="312"/>
      <c r="I167" s="312"/>
      <c r="J167" s="312"/>
      <c r="K167" s="312"/>
      <c r="L167" s="408"/>
    </row>
    <row r="168" spans="1:15">
      <c r="A168" s="322" t="s">
        <v>439</v>
      </c>
      <c r="C168" s="329"/>
      <c r="D168" s="381" t="s">
        <v>504</v>
      </c>
      <c r="E168" s="321"/>
      <c r="F168" s="321"/>
      <c r="G168" s="321"/>
      <c r="H168" s="322"/>
      <c r="I168" s="321"/>
      <c r="J168" s="382" t="s">
        <v>7</v>
      </c>
      <c r="K168" s="321"/>
      <c r="L168" s="408"/>
    </row>
    <row r="169" spans="1:15" ht="16.5" thickBot="1">
      <c r="A169" s="326" t="s">
        <v>440</v>
      </c>
      <c r="C169" s="329"/>
      <c r="D169" s="383" t="s">
        <v>97</v>
      </c>
      <c r="E169" s="382" t="s">
        <v>505</v>
      </c>
      <c r="F169" s="384"/>
      <c r="G169" s="382" t="s">
        <v>506</v>
      </c>
      <c r="I169" s="384"/>
      <c r="J169" s="322" t="s">
        <v>507</v>
      </c>
      <c r="K169" s="321"/>
      <c r="L169" s="408"/>
    </row>
    <row r="170" spans="1:15">
      <c r="C170" s="329"/>
      <c r="D170" s="321"/>
      <c r="E170" s="409"/>
      <c r="F170" s="410"/>
      <c r="G170" s="411"/>
      <c r="I170" s="410"/>
      <c r="J170" s="409"/>
      <c r="K170" s="321"/>
      <c r="L170" s="387"/>
      <c r="M170" s="356"/>
      <c r="N170" s="388"/>
      <c r="O170" s="388"/>
    </row>
    <row r="171" spans="1:15">
      <c r="A171" s="322"/>
      <c r="C171" s="329" t="s">
        <v>567</v>
      </c>
      <c r="D171" s="321"/>
      <c r="E171" s="321"/>
      <c r="F171" s="321"/>
      <c r="G171" s="321"/>
      <c r="H171" s="321"/>
      <c r="I171" s="321"/>
      <c r="J171" s="321"/>
      <c r="K171" s="321"/>
      <c r="L171" s="387"/>
      <c r="M171" s="356"/>
      <c r="N171" s="388"/>
      <c r="O171" s="388"/>
    </row>
    <row r="172" spans="1:15">
      <c r="A172" s="322">
        <v>1</v>
      </c>
      <c r="C172" s="329" t="s">
        <v>568</v>
      </c>
      <c r="D172" s="321" t="s">
        <v>569</v>
      </c>
      <c r="E172" s="334">
        <v>13719043</v>
      </c>
      <c r="F172" s="321"/>
      <c r="G172" s="321" t="s">
        <v>560</v>
      </c>
      <c r="H172" s="391">
        <f>J261</f>
        <v>0.85328951497794769</v>
      </c>
      <c r="I172" s="321"/>
      <c r="J172" s="321">
        <f>+H172*E172</f>
        <v>11706315.547431609</v>
      </c>
      <c r="K172" s="316"/>
      <c r="L172" s="392"/>
      <c r="M172" s="356"/>
      <c r="N172" s="392"/>
      <c r="O172" s="392"/>
    </row>
    <row r="173" spans="1:15">
      <c r="A173" s="373" t="s">
        <v>570</v>
      </c>
      <c r="B173" s="374"/>
      <c r="C173" s="375" t="s">
        <v>571</v>
      </c>
      <c r="D173" s="330"/>
      <c r="E173" s="334">
        <v>509511</v>
      </c>
      <c r="F173" s="321"/>
      <c r="G173" s="412"/>
      <c r="H173" s="391">
        <v>1</v>
      </c>
      <c r="I173" s="321"/>
      <c r="J173" s="321">
        <f>+H173*E173</f>
        <v>509511</v>
      </c>
      <c r="K173" s="316"/>
      <c r="L173" s="392"/>
      <c r="M173" s="356"/>
      <c r="N173" s="392"/>
      <c r="O173" s="392"/>
    </row>
    <row r="174" spans="1:15">
      <c r="A174" s="322">
        <v>2</v>
      </c>
      <c r="C174" s="329" t="s">
        <v>572</v>
      </c>
      <c r="D174" s="321" t="s">
        <v>573</v>
      </c>
      <c r="E174" s="334">
        <v>5017669</v>
      </c>
      <c r="F174" s="321"/>
      <c r="G174" s="321" t="s">
        <v>560</v>
      </c>
      <c r="H174" s="391">
        <f>+H172</f>
        <v>0.85328951497794769</v>
      </c>
      <c r="I174" s="321"/>
      <c r="J174" s="321">
        <f t="shared" ref="J174:J180" si="2">+H174*E174</f>
        <v>4281524.3473298838</v>
      </c>
      <c r="K174" s="316"/>
      <c r="L174" s="392"/>
      <c r="M174" s="356"/>
      <c r="N174" s="392"/>
      <c r="O174" s="392"/>
    </row>
    <row r="175" spans="1:15">
      <c r="A175" s="322">
        <v>3</v>
      </c>
      <c r="C175" s="329" t="s">
        <v>574</v>
      </c>
      <c r="D175" s="321" t="s">
        <v>575</v>
      </c>
      <c r="E175" s="334">
        <v>18586699</v>
      </c>
      <c r="F175" s="321"/>
      <c r="G175" s="321" t="s">
        <v>516</v>
      </c>
      <c r="H175" s="391">
        <f>+H103</f>
        <v>0.14360551410912187</v>
      </c>
      <c r="I175" s="321"/>
      <c r="J175" s="321">
        <f t="shared" si="2"/>
        <v>2669152.4654865013</v>
      </c>
      <c r="K175" s="321"/>
      <c r="L175" s="392"/>
      <c r="M175" s="356"/>
      <c r="N175" s="392"/>
      <c r="O175" s="392"/>
    </row>
    <row r="176" spans="1:15">
      <c r="A176" s="322">
        <v>4</v>
      </c>
      <c r="C176" s="329" t="s">
        <v>576</v>
      </c>
      <c r="D176" s="321"/>
      <c r="E176" s="334">
        <v>305113</v>
      </c>
      <c r="F176" s="321"/>
      <c r="G176" s="321" t="str">
        <f>+G175</f>
        <v>W/S</v>
      </c>
      <c r="H176" s="391">
        <f>+H175</f>
        <v>0.14360551410912187</v>
      </c>
      <c r="I176" s="321"/>
      <c r="J176" s="321">
        <f t="shared" si="2"/>
        <v>43815.909226376498</v>
      </c>
      <c r="K176" s="321"/>
      <c r="L176" s="392"/>
      <c r="M176" s="356"/>
      <c r="N176" s="392"/>
      <c r="O176" s="392"/>
    </row>
    <row r="177" spans="1:15">
      <c r="A177" s="322">
        <v>5</v>
      </c>
      <c r="C177" s="375" t="s">
        <v>577</v>
      </c>
      <c r="D177" s="330"/>
      <c r="E177" s="334">
        <v>126896</v>
      </c>
      <c r="F177" s="321"/>
      <c r="G177" s="321" t="str">
        <f>+G176</f>
        <v>W/S</v>
      </c>
      <c r="H177" s="391">
        <f>+H176</f>
        <v>0.14360551410912187</v>
      </c>
      <c r="I177" s="321"/>
      <c r="J177" s="321">
        <f t="shared" si="2"/>
        <v>18222.965318391129</v>
      </c>
      <c r="K177" s="321"/>
      <c r="L177" s="392"/>
      <c r="M177" s="356"/>
      <c r="N177" s="392"/>
      <c r="O177" s="392"/>
    </row>
    <row r="178" spans="1:15">
      <c r="A178" s="322" t="s">
        <v>578</v>
      </c>
      <c r="C178" s="375" t="s">
        <v>579</v>
      </c>
      <c r="D178" s="330"/>
      <c r="E178" s="334">
        <v>0</v>
      </c>
      <c r="F178" s="321"/>
      <c r="G178" s="413" t="str">
        <f>+G172</f>
        <v>TE</v>
      </c>
      <c r="H178" s="414">
        <f>+H172</f>
        <v>0.85328951497794769</v>
      </c>
      <c r="I178" s="321"/>
      <c r="J178" s="321">
        <f>+H178*E178</f>
        <v>0</v>
      </c>
      <c r="K178" s="321"/>
      <c r="L178" s="392"/>
      <c r="M178" s="356"/>
      <c r="N178" s="392"/>
      <c r="O178" s="392"/>
    </row>
    <row r="179" spans="1:15">
      <c r="A179" s="322">
        <v>6</v>
      </c>
      <c r="C179" s="375" t="s">
        <v>517</v>
      </c>
      <c r="D179" s="330" t="str">
        <f>+D104</f>
        <v>356.1</v>
      </c>
      <c r="E179" s="334">
        <v>0</v>
      </c>
      <c r="F179" s="321"/>
      <c r="G179" s="321" t="s">
        <v>519</v>
      </c>
      <c r="H179" s="391">
        <f>+H104</f>
        <v>0.10198774708837706</v>
      </c>
      <c r="I179" s="321"/>
      <c r="J179" s="321">
        <f t="shared" si="2"/>
        <v>0</v>
      </c>
      <c r="K179" s="321"/>
      <c r="L179" s="392"/>
      <c r="M179" s="356"/>
      <c r="N179" s="392"/>
      <c r="O179" s="392"/>
    </row>
    <row r="180" spans="1:15" ht="16.5" thickBot="1">
      <c r="A180" s="322">
        <v>7</v>
      </c>
      <c r="C180" s="329" t="s">
        <v>580</v>
      </c>
      <c r="D180" s="321"/>
      <c r="E180" s="393">
        <v>0</v>
      </c>
      <c r="F180" s="321"/>
      <c r="G180" s="321" t="s">
        <v>145</v>
      </c>
      <c r="H180" s="391">
        <v>1</v>
      </c>
      <c r="I180" s="321"/>
      <c r="J180" s="337">
        <f t="shared" si="2"/>
        <v>0</v>
      </c>
      <c r="K180" s="321"/>
      <c r="L180" s="392"/>
      <c r="M180" s="356"/>
      <c r="N180" s="392"/>
      <c r="O180" s="392"/>
    </row>
    <row r="181" spans="1:15">
      <c r="A181" s="322">
        <v>8</v>
      </c>
      <c r="C181" s="329" t="s">
        <v>581</v>
      </c>
      <c r="D181" s="321"/>
      <c r="E181" s="321">
        <f>+E172-E173-E174+E175-E176-E177+E178+E179+E180</f>
        <v>26346553</v>
      </c>
      <c r="F181" s="321"/>
      <c r="G181" s="321"/>
      <c r="H181" s="321"/>
      <c r="I181" s="321"/>
      <c r="J181" s="321">
        <f>+J172-J173-J174+J175-J176-J177+J178+J179+J180</f>
        <v>9522393.7910434585</v>
      </c>
      <c r="K181" s="321"/>
      <c r="L181" s="392"/>
      <c r="M181" s="356"/>
      <c r="N181" s="392"/>
      <c r="O181" s="392"/>
    </row>
    <row r="182" spans="1:15">
      <c r="A182" s="322"/>
      <c r="D182" s="321"/>
      <c r="F182" s="321"/>
      <c r="G182" s="321"/>
      <c r="H182" s="321"/>
      <c r="I182" s="321"/>
      <c r="K182" s="321"/>
      <c r="L182" s="386"/>
      <c r="M182" s="356"/>
      <c r="N182" s="356"/>
      <c r="O182" s="356"/>
    </row>
    <row r="183" spans="1:15">
      <c r="A183" s="322"/>
      <c r="C183" s="405" t="s">
        <v>582</v>
      </c>
      <c r="D183" s="321"/>
      <c r="E183" s="321"/>
      <c r="F183" s="321"/>
      <c r="G183" s="321"/>
      <c r="H183" s="321"/>
      <c r="I183" s="321"/>
      <c r="J183" s="321"/>
      <c r="K183" s="321"/>
      <c r="L183" s="386"/>
      <c r="M183" s="356"/>
      <c r="N183" s="356"/>
      <c r="O183" s="356"/>
    </row>
    <row r="184" spans="1:15">
      <c r="A184" s="322">
        <v>9</v>
      </c>
      <c r="C184" s="329" t="str">
        <f>+C172</f>
        <v xml:space="preserve">  Transmission </v>
      </c>
      <c r="D184" s="321" t="s">
        <v>253</v>
      </c>
      <c r="E184" s="334">
        <v>3732926</v>
      </c>
      <c r="F184" s="321"/>
      <c r="G184" s="321" t="s">
        <v>448</v>
      </c>
      <c r="H184" s="391">
        <f>+H128</f>
        <v>0.95223595320484389</v>
      </c>
      <c r="I184" s="321"/>
      <c r="J184" s="321">
        <f>+H184*E184</f>
        <v>3554626.3478531451</v>
      </c>
      <c r="K184" s="321"/>
      <c r="L184" s="392"/>
      <c r="M184" s="356"/>
      <c r="N184" s="392"/>
      <c r="O184" s="392"/>
    </row>
    <row r="185" spans="1:15">
      <c r="A185" s="415" t="s">
        <v>583</v>
      </c>
      <c r="B185" s="416"/>
      <c r="C185" s="341" t="s">
        <v>584</v>
      </c>
      <c r="D185" s="343" t="s">
        <v>585</v>
      </c>
      <c r="E185" s="334">
        <v>0</v>
      </c>
      <c r="F185" s="417"/>
      <c r="G185" s="417" t="s">
        <v>537</v>
      </c>
      <c r="H185" s="418">
        <v>1</v>
      </c>
      <c r="I185" s="417"/>
      <c r="J185" s="417">
        <f>+H185*E185</f>
        <v>0</v>
      </c>
      <c r="K185" s="321"/>
      <c r="L185" s="392"/>
      <c r="M185" s="356"/>
      <c r="N185" s="392"/>
      <c r="O185" s="392"/>
    </row>
    <row r="186" spans="1:15">
      <c r="A186" s="322">
        <v>10</v>
      </c>
      <c r="C186" s="405" t="s">
        <v>514</v>
      </c>
      <c r="D186" s="417" t="s">
        <v>586</v>
      </c>
      <c r="E186" s="334">
        <v>989840</v>
      </c>
      <c r="F186" s="321"/>
      <c r="G186" s="321" t="s">
        <v>516</v>
      </c>
      <c r="H186" s="391">
        <f>+H175</f>
        <v>0.14360551410912187</v>
      </c>
      <c r="I186" s="321"/>
      <c r="J186" s="321">
        <f>+H186*E186</f>
        <v>142146.4820857732</v>
      </c>
      <c r="K186" s="321"/>
      <c r="L186" s="392"/>
      <c r="M186" s="356"/>
      <c r="N186" s="392"/>
      <c r="O186" s="392"/>
    </row>
    <row r="187" spans="1:15" ht="16.5" thickBot="1">
      <c r="A187" s="322">
        <v>11</v>
      </c>
      <c r="C187" s="329" t="str">
        <f>+C179</f>
        <v xml:space="preserve">  Common</v>
      </c>
      <c r="D187" s="321" t="s">
        <v>256</v>
      </c>
      <c r="E187" s="393">
        <v>1225907</v>
      </c>
      <c r="F187" s="321"/>
      <c r="G187" s="321" t="s">
        <v>519</v>
      </c>
      <c r="H187" s="391">
        <f>+H179</f>
        <v>0.10198774708837706</v>
      </c>
      <c r="I187" s="321"/>
      <c r="J187" s="337">
        <f>+H187*E187</f>
        <v>125027.49306987105</v>
      </c>
      <c r="K187" s="321"/>
      <c r="L187" s="392"/>
      <c r="M187" s="356"/>
      <c r="N187" s="392"/>
      <c r="O187" s="392"/>
    </row>
    <row r="188" spans="1:15">
      <c r="A188" s="322">
        <v>12</v>
      </c>
      <c r="C188" s="329" t="s">
        <v>587</v>
      </c>
      <c r="D188" s="321"/>
      <c r="E188" s="321">
        <f>SUM(E184:E187)</f>
        <v>5948673</v>
      </c>
      <c r="F188" s="321"/>
      <c r="G188" s="321"/>
      <c r="H188" s="321"/>
      <c r="I188" s="321"/>
      <c r="J188" s="321">
        <f>SUM(J184:J187)</f>
        <v>3821800.3230087892</v>
      </c>
      <c r="K188" s="321"/>
      <c r="L188" s="392"/>
      <c r="M188" s="356"/>
      <c r="N188" s="392"/>
      <c r="O188" s="392"/>
    </row>
    <row r="189" spans="1:15">
      <c r="A189" s="322"/>
      <c r="C189" s="329"/>
      <c r="D189" s="321"/>
      <c r="E189" s="321"/>
      <c r="F189" s="321"/>
      <c r="G189" s="321"/>
      <c r="H189" s="321"/>
      <c r="I189" s="321"/>
      <c r="J189" s="321"/>
      <c r="K189" s="321"/>
      <c r="L189" s="392"/>
      <c r="M189" s="356"/>
      <c r="N189" s="392"/>
      <c r="O189" s="392"/>
    </row>
    <row r="190" spans="1:15">
      <c r="A190" s="322" t="s">
        <v>145</v>
      </c>
      <c r="C190" s="329" t="s">
        <v>588</v>
      </c>
      <c r="E190" s="321"/>
      <c r="F190" s="321"/>
      <c r="G190" s="321"/>
      <c r="H190" s="321"/>
      <c r="I190" s="321"/>
      <c r="J190" s="321"/>
      <c r="K190" s="321"/>
      <c r="L190" s="392"/>
      <c r="M190" s="356"/>
      <c r="N190" s="392"/>
      <c r="O190" s="392"/>
    </row>
    <row r="191" spans="1:15">
      <c r="A191" s="322"/>
      <c r="C191" s="329" t="s">
        <v>589</v>
      </c>
      <c r="F191" s="321"/>
      <c r="G191" s="321"/>
      <c r="I191" s="321"/>
      <c r="K191" s="321"/>
      <c r="L191" s="392"/>
      <c r="M191" s="356"/>
      <c r="N191" s="392"/>
      <c r="O191" s="392"/>
    </row>
    <row r="192" spans="1:15">
      <c r="A192" s="322">
        <v>13</v>
      </c>
      <c r="C192" s="329" t="s">
        <v>590</v>
      </c>
      <c r="D192" s="321" t="s">
        <v>261</v>
      </c>
      <c r="E192" s="334">
        <v>2051191</v>
      </c>
      <c r="F192" s="321"/>
      <c r="G192" s="321" t="s">
        <v>516</v>
      </c>
      <c r="H192" s="332">
        <f>+H186</f>
        <v>0.14360551410912187</v>
      </c>
      <c r="I192" s="321"/>
      <c r="J192" s="321">
        <f>+H192*E192</f>
        <v>294562.33809100377</v>
      </c>
      <c r="K192" s="321"/>
      <c r="L192" s="392"/>
      <c r="M192" s="356"/>
      <c r="N192" s="392"/>
      <c r="O192" s="392"/>
    </row>
    <row r="193" spans="1:15">
      <c r="A193" s="322">
        <v>14</v>
      </c>
      <c r="C193" s="329" t="s">
        <v>591</v>
      </c>
      <c r="D193" s="321" t="str">
        <f>+D192</f>
        <v>263.i</v>
      </c>
      <c r="E193" s="334">
        <v>3710</v>
      </c>
      <c r="F193" s="321"/>
      <c r="G193" s="321" t="str">
        <f>+G192</f>
        <v>W/S</v>
      </c>
      <c r="H193" s="332">
        <f>+H192</f>
        <v>0.14360551410912187</v>
      </c>
      <c r="I193" s="321"/>
      <c r="J193" s="321">
        <f>+H193*E193</f>
        <v>532.77645734484213</v>
      </c>
      <c r="K193" s="321"/>
      <c r="L193" s="392"/>
      <c r="M193" s="356"/>
      <c r="N193" s="392"/>
      <c r="O193" s="392"/>
    </row>
    <row r="194" spans="1:15">
      <c r="A194" s="322">
        <v>15</v>
      </c>
      <c r="C194" s="329" t="s">
        <v>592</v>
      </c>
      <c r="D194" s="321" t="s">
        <v>145</v>
      </c>
      <c r="F194" s="321"/>
      <c r="G194" s="321"/>
      <c r="I194" s="321"/>
      <c r="K194" s="321"/>
      <c r="L194" s="392"/>
      <c r="M194" s="356"/>
      <c r="N194" s="392"/>
      <c r="O194" s="392"/>
    </row>
    <row r="195" spans="1:15">
      <c r="A195" s="322">
        <v>16</v>
      </c>
      <c r="C195" s="329" t="s">
        <v>593</v>
      </c>
      <c r="D195" s="321" t="s">
        <v>261</v>
      </c>
      <c r="E195" s="334">
        <v>6846102</v>
      </c>
      <c r="F195" s="321"/>
      <c r="G195" s="321" t="s">
        <v>563</v>
      </c>
      <c r="H195" s="332">
        <f>+H97</f>
        <v>0.18444844794754472</v>
      </c>
      <c r="I195" s="321"/>
      <c r="J195" s="321">
        <f>+H195*E195</f>
        <v>1262752.8883905818</v>
      </c>
      <c r="K195" s="321"/>
      <c r="L195" s="392"/>
      <c r="M195" s="356"/>
      <c r="N195" s="392"/>
      <c r="O195" s="392"/>
    </row>
    <row r="196" spans="1:15">
      <c r="A196" s="322">
        <v>17</v>
      </c>
      <c r="C196" s="329" t="s">
        <v>594</v>
      </c>
      <c r="D196" s="321" t="s">
        <v>261</v>
      </c>
      <c r="E196" s="334">
        <v>140508</v>
      </c>
      <c r="F196" s="321"/>
      <c r="G196" s="330" t="str">
        <f>+G119</f>
        <v>NA</v>
      </c>
      <c r="H196" s="419" t="s">
        <v>540</v>
      </c>
      <c r="I196" s="321"/>
      <c r="J196" s="321">
        <v>0</v>
      </c>
      <c r="K196" s="321"/>
      <c r="L196" s="392"/>
      <c r="M196" s="356"/>
      <c r="N196" s="392"/>
      <c r="O196" s="392"/>
    </row>
    <row r="197" spans="1:15">
      <c r="A197" s="322">
        <v>18</v>
      </c>
      <c r="C197" s="329" t="s">
        <v>595</v>
      </c>
      <c r="D197" s="321" t="str">
        <f>+D196</f>
        <v>263.i</v>
      </c>
      <c r="E197" s="334">
        <v>1155172</v>
      </c>
      <c r="F197" s="321"/>
      <c r="G197" s="321" t="str">
        <f>+G195</f>
        <v>GP</v>
      </c>
      <c r="H197" s="332">
        <f>+H195</f>
        <v>0.18444844794754472</v>
      </c>
      <c r="I197" s="321"/>
      <c r="J197" s="321">
        <f>+H197*E197</f>
        <v>213069.68251246112</v>
      </c>
      <c r="K197" s="321"/>
      <c r="L197" s="392"/>
      <c r="M197" s="356"/>
      <c r="N197" s="392"/>
      <c r="O197" s="392"/>
    </row>
    <row r="198" spans="1:15" ht="16.5" thickBot="1">
      <c r="A198" s="322">
        <v>19</v>
      </c>
      <c r="C198" s="329" t="s">
        <v>596</v>
      </c>
      <c r="D198" s="321"/>
      <c r="E198" s="393">
        <v>93352</v>
      </c>
      <c r="F198" s="321"/>
      <c r="G198" s="321" t="s">
        <v>563</v>
      </c>
      <c r="H198" s="332">
        <f>+H195</f>
        <v>0.18444844794754472</v>
      </c>
      <c r="I198" s="321"/>
      <c r="J198" s="337">
        <f>+H198*E198</f>
        <v>17218.631512799195</v>
      </c>
      <c r="K198" s="321"/>
      <c r="L198" s="392"/>
      <c r="M198" s="356"/>
      <c r="N198" s="392"/>
      <c r="O198" s="392"/>
    </row>
    <row r="199" spans="1:15">
      <c r="A199" s="322">
        <v>20</v>
      </c>
      <c r="C199" s="329" t="s">
        <v>597</v>
      </c>
      <c r="D199" s="321"/>
      <c r="E199" s="321">
        <f>SUM(E192:E198)</f>
        <v>10290035</v>
      </c>
      <c r="F199" s="321"/>
      <c r="G199" s="321"/>
      <c r="H199" s="332"/>
      <c r="I199" s="321"/>
      <c r="J199" s="321">
        <f>SUM(J192:J198)</f>
        <v>1788136.3169641909</v>
      </c>
      <c r="K199" s="321"/>
      <c r="L199" s="392"/>
      <c r="M199" s="356"/>
      <c r="N199" s="392"/>
      <c r="O199" s="392"/>
    </row>
    <row r="200" spans="1:15">
      <c r="A200" s="322"/>
      <c r="C200" s="329"/>
      <c r="D200" s="321"/>
      <c r="E200" s="321"/>
      <c r="F200" s="321"/>
      <c r="G200" s="321"/>
      <c r="H200" s="332"/>
      <c r="I200" s="321"/>
      <c r="J200" s="321"/>
      <c r="K200" s="321"/>
      <c r="L200" s="392"/>
      <c r="M200" s="356"/>
      <c r="N200" s="392"/>
      <c r="O200" s="392"/>
    </row>
    <row r="201" spans="1:15">
      <c r="A201" s="322" t="s">
        <v>598</v>
      </c>
      <c r="C201" s="329"/>
      <c r="D201" s="321"/>
      <c r="E201" s="321"/>
      <c r="F201" s="321"/>
      <c r="G201" s="321"/>
      <c r="H201" s="332"/>
      <c r="I201" s="321"/>
      <c r="J201" s="321"/>
      <c r="K201" s="321"/>
      <c r="L201" s="321"/>
      <c r="N201" s="321"/>
      <c r="O201" s="321"/>
    </row>
    <row r="202" spans="1:15">
      <c r="A202" s="322" t="s">
        <v>145</v>
      </c>
      <c r="C202" s="329" t="s">
        <v>599</v>
      </c>
      <c r="D202" s="321" t="s">
        <v>600</v>
      </c>
      <c r="E202" s="321"/>
      <c r="F202" s="321"/>
      <c r="H202" s="420"/>
      <c r="I202" s="321"/>
      <c r="K202" s="321"/>
      <c r="L202" s="321"/>
      <c r="N202" s="321"/>
      <c r="O202" s="321"/>
    </row>
    <row r="203" spans="1:15">
      <c r="A203" s="322">
        <v>21</v>
      </c>
      <c r="C203" s="421" t="s">
        <v>601</v>
      </c>
      <c r="D203" s="321"/>
      <c r="E203" s="422">
        <f>IF(E349&gt;0,1-(((1-E350)*(1-E349))/(1-E350*E349*E351)),0)</f>
        <v>0.381135</v>
      </c>
      <c r="F203" s="321"/>
      <c r="H203" s="420"/>
      <c r="I203" s="321"/>
      <c r="K203" s="321"/>
      <c r="L203" s="321"/>
      <c r="N203" s="321"/>
      <c r="O203" s="321"/>
    </row>
    <row r="204" spans="1:15">
      <c r="A204" s="322">
        <v>22</v>
      </c>
      <c r="C204" s="309" t="s">
        <v>602</v>
      </c>
      <c r="D204" s="321"/>
      <c r="E204" s="422">
        <f>IF(J293&gt;0,(E203/(1-E203))*(1-J290/J293),0)</f>
        <v>0.44485549860260076</v>
      </c>
      <c r="F204" s="321"/>
      <c r="H204" s="420"/>
      <c r="I204" s="321"/>
      <c r="K204" s="321"/>
      <c r="L204" s="321"/>
      <c r="N204" s="321"/>
      <c r="O204" s="321"/>
    </row>
    <row r="205" spans="1:15">
      <c r="A205" s="322"/>
      <c r="C205" s="329" t="s">
        <v>603</v>
      </c>
      <c r="D205" s="321"/>
      <c r="E205" s="321"/>
      <c r="F205" s="321"/>
      <c r="H205" s="420"/>
      <c r="I205" s="321"/>
      <c r="K205" s="321"/>
      <c r="L205" s="392"/>
      <c r="N205" s="392"/>
      <c r="O205" s="392"/>
    </row>
    <row r="206" spans="1:15">
      <c r="A206" s="322"/>
      <c r="C206" s="329" t="s">
        <v>604</v>
      </c>
      <c r="D206" s="321"/>
      <c r="E206" s="321"/>
      <c r="F206" s="321"/>
      <c r="H206" s="420"/>
      <c r="I206" s="321"/>
      <c r="K206" s="321"/>
      <c r="L206" s="321"/>
      <c r="N206" s="321"/>
      <c r="O206" s="321"/>
    </row>
    <row r="207" spans="1:15">
      <c r="A207" s="322">
        <v>23</v>
      </c>
      <c r="C207" s="421" t="s">
        <v>605</v>
      </c>
      <c r="D207" s="321"/>
      <c r="E207" s="423">
        <f>IF(E203&gt;0,1/(1-E203),0)</f>
        <v>1.615861294466483</v>
      </c>
      <c r="F207" s="321"/>
      <c r="H207" s="420"/>
      <c r="I207" s="321"/>
      <c r="K207" s="321"/>
      <c r="L207" s="321"/>
      <c r="N207" s="321"/>
      <c r="O207" s="321"/>
    </row>
    <row r="208" spans="1:15">
      <c r="A208" s="322">
        <v>24</v>
      </c>
      <c r="C208" s="329" t="s">
        <v>606</v>
      </c>
      <c r="D208" s="424"/>
      <c r="E208" s="334"/>
      <c r="F208" s="321"/>
      <c r="H208" s="420"/>
      <c r="I208" s="321"/>
      <c r="K208" s="321"/>
      <c r="L208" s="321"/>
      <c r="N208" s="321"/>
      <c r="O208" s="321"/>
    </row>
    <row r="209" spans="1:15">
      <c r="A209" s="322"/>
      <c r="C209" s="329"/>
      <c r="D209" s="321"/>
      <c r="E209" s="321"/>
      <c r="F209" s="321"/>
      <c r="H209" s="420"/>
      <c r="I209" s="321"/>
      <c r="K209" s="321"/>
      <c r="L209" s="321"/>
      <c r="N209" s="321"/>
      <c r="O209" s="321"/>
    </row>
    <row r="210" spans="1:15">
      <c r="A210" s="322">
        <v>25</v>
      </c>
      <c r="C210" s="421" t="s">
        <v>607</v>
      </c>
      <c r="D210" s="425"/>
      <c r="E210" s="321">
        <f>E204*E214</f>
        <v>17988203.076868888</v>
      </c>
      <c r="F210" s="321"/>
      <c r="G210" s="321" t="s">
        <v>511</v>
      </c>
      <c r="H210" s="332"/>
      <c r="I210" s="321"/>
      <c r="J210" s="321">
        <f>E204*J214</f>
        <v>3550879.0873293635</v>
      </c>
      <c r="K210" s="321"/>
      <c r="L210" s="392"/>
      <c r="M210" s="356"/>
      <c r="N210" s="392"/>
      <c r="O210" s="392"/>
    </row>
    <row r="211" spans="1:15" ht="16.5" thickBot="1">
      <c r="A211" s="322">
        <v>26</v>
      </c>
      <c r="C211" s="309" t="s">
        <v>608</v>
      </c>
      <c r="D211" s="425"/>
      <c r="E211" s="426">
        <f>E207*E208</f>
        <v>0</v>
      </c>
      <c r="F211" s="321"/>
      <c r="G211" s="309" t="s">
        <v>542</v>
      </c>
      <c r="H211" s="332">
        <f>H113</f>
        <v>0.18968373822390885</v>
      </c>
      <c r="I211" s="321"/>
      <c r="J211" s="426">
        <f>H211*E211</f>
        <v>0</v>
      </c>
      <c r="K211" s="321"/>
      <c r="L211" s="392"/>
      <c r="M211" s="356"/>
      <c r="N211" s="392"/>
      <c r="O211" s="392"/>
    </row>
    <row r="212" spans="1:15">
      <c r="A212" s="322">
        <v>27</v>
      </c>
      <c r="C212" s="427" t="s">
        <v>609</v>
      </c>
      <c r="D212" s="309" t="s">
        <v>610</v>
      </c>
      <c r="E212" s="428">
        <f>+E210+E211</f>
        <v>17988203.076868888</v>
      </c>
      <c r="F212" s="321"/>
      <c r="G212" s="321" t="s">
        <v>145</v>
      </c>
      <c r="H212" s="332" t="s">
        <v>145</v>
      </c>
      <c r="I212" s="321"/>
      <c r="J212" s="428">
        <f>+J210+J211</f>
        <v>3550879.0873293635</v>
      </c>
      <c r="K212" s="321"/>
      <c r="L212" s="392"/>
      <c r="M212" s="356"/>
      <c r="N212" s="392"/>
      <c r="O212" s="392"/>
    </row>
    <row r="213" spans="1:15">
      <c r="A213" s="322" t="s">
        <v>145</v>
      </c>
      <c r="D213" s="429"/>
      <c r="E213" s="321"/>
      <c r="F213" s="321"/>
      <c r="G213" s="321"/>
      <c r="H213" s="332"/>
      <c r="I213" s="321"/>
      <c r="J213" s="321"/>
      <c r="K213" s="321"/>
      <c r="L213" s="392"/>
      <c r="M213" s="356"/>
      <c r="N213" s="392"/>
      <c r="O213" s="392"/>
    </row>
    <row r="214" spans="1:15">
      <c r="A214" s="322">
        <v>28</v>
      </c>
      <c r="C214" s="329" t="s">
        <v>611</v>
      </c>
      <c r="D214" s="394"/>
      <c r="E214" s="321">
        <f>+$J293*E136</f>
        <v>40436058.750255316</v>
      </c>
      <c r="F214" s="321"/>
      <c r="G214" s="321" t="s">
        <v>511</v>
      </c>
      <c r="H214" s="420"/>
      <c r="I214" s="321"/>
      <c r="J214" s="321">
        <f>+$J293*J136</f>
        <v>7982095.5309837414</v>
      </c>
      <c r="K214" s="321"/>
      <c r="L214" s="392"/>
      <c r="M214" s="356"/>
      <c r="N214" s="392"/>
      <c r="O214" s="392"/>
    </row>
    <row r="215" spans="1:15">
      <c r="A215" s="322"/>
      <c r="C215" s="427" t="s">
        <v>612</v>
      </c>
      <c r="E215" s="321"/>
      <c r="F215" s="321"/>
      <c r="G215" s="321"/>
      <c r="H215" s="420"/>
      <c r="I215" s="321"/>
      <c r="J215" s="321"/>
      <c r="K215" s="321"/>
      <c r="L215" s="321"/>
      <c r="N215" s="321"/>
      <c r="O215" s="321"/>
    </row>
    <row r="216" spans="1:15">
      <c r="A216" s="322"/>
      <c r="C216" s="329"/>
      <c r="E216" s="392"/>
      <c r="F216" s="321"/>
      <c r="G216" s="321"/>
      <c r="H216" s="420"/>
      <c r="I216" s="321"/>
      <c r="J216" s="392"/>
      <c r="K216" s="321"/>
      <c r="L216" s="321"/>
      <c r="N216" s="321"/>
      <c r="O216" s="321"/>
    </row>
    <row r="217" spans="1:15">
      <c r="A217" s="322">
        <v>29</v>
      </c>
      <c r="C217" s="329" t="s">
        <v>613</v>
      </c>
      <c r="D217" s="321"/>
      <c r="E217" s="386">
        <f>+E214+E212+E199+E188+E181</f>
        <v>101009522.82712421</v>
      </c>
      <c r="F217" s="321"/>
      <c r="G217" s="321"/>
      <c r="H217" s="321"/>
      <c r="I217" s="321"/>
      <c r="J217" s="392">
        <f>+J214+J212+J199+J188+J181</f>
        <v>26665305.049329542</v>
      </c>
      <c r="K217" s="316"/>
      <c r="L217" s="321"/>
      <c r="N217" s="321"/>
      <c r="O217" s="321"/>
    </row>
    <row r="218" spans="1:15">
      <c r="A218" s="322">
        <v>30</v>
      </c>
      <c r="C218" s="389" t="s">
        <v>614</v>
      </c>
      <c r="D218" s="343"/>
      <c r="E218" s="392"/>
      <c r="F218" s="321"/>
      <c r="G218" s="321"/>
      <c r="H218" s="321"/>
      <c r="I218" s="321"/>
      <c r="J218" s="392"/>
      <c r="K218" s="316"/>
      <c r="L218" s="321"/>
      <c r="N218" s="321"/>
      <c r="O218" s="321"/>
    </row>
    <row r="219" spans="1:15">
      <c r="C219" s="523" t="s">
        <v>615</v>
      </c>
      <c r="D219" s="523"/>
      <c r="E219" s="392"/>
      <c r="F219" s="321"/>
      <c r="G219" s="321"/>
      <c r="H219" s="321"/>
      <c r="I219" s="321"/>
      <c r="J219" s="392"/>
      <c r="K219" s="316"/>
      <c r="L219" s="321"/>
      <c r="N219" s="321"/>
      <c r="O219" s="321"/>
    </row>
    <row r="220" spans="1:15">
      <c r="A220" s="322"/>
      <c r="C220" s="389" t="s">
        <v>616</v>
      </c>
      <c r="D220" s="343"/>
      <c r="E220" s="334">
        <v>1974949</v>
      </c>
      <c r="F220" s="321"/>
      <c r="G220" s="321"/>
      <c r="H220" s="321"/>
      <c r="I220" s="321"/>
      <c r="J220" s="430">
        <f>+E220</f>
        <v>1974949</v>
      </c>
      <c r="K220" s="316"/>
      <c r="L220" s="321"/>
      <c r="N220" s="321"/>
      <c r="O220" s="321"/>
    </row>
    <row r="221" spans="1:15">
      <c r="A221" s="322"/>
      <c r="C221" s="389"/>
      <c r="D221" s="343"/>
      <c r="E221" s="330"/>
      <c r="F221" s="321"/>
      <c r="G221" s="321"/>
      <c r="H221" s="321"/>
      <c r="I221" s="321"/>
      <c r="J221" s="392"/>
      <c r="K221" s="316"/>
      <c r="L221" s="392"/>
      <c r="N221" s="392"/>
      <c r="O221" s="392"/>
    </row>
    <row r="222" spans="1:15">
      <c r="A222" s="322" t="s">
        <v>617</v>
      </c>
      <c r="C222" s="389" t="s">
        <v>618</v>
      </c>
      <c r="D222" s="343"/>
      <c r="E222" s="392"/>
      <c r="F222" s="321"/>
      <c r="G222" s="321"/>
      <c r="H222" s="321"/>
      <c r="I222" s="321"/>
      <c r="J222" s="392"/>
      <c r="K222" s="316"/>
      <c r="L222" s="321"/>
      <c r="N222" s="321"/>
      <c r="O222" s="321"/>
    </row>
    <row r="223" spans="1:15">
      <c r="C223" s="523" t="s">
        <v>615</v>
      </c>
      <c r="D223" s="523"/>
      <c r="E223" s="392"/>
      <c r="F223" s="321"/>
      <c r="G223" s="321"/>
      <c r="H223" s="321"/>
      <c r="I223" s="321"/>
      <c r="J223" s="392"/>
      <c r="K223" s="316"/>
      <c r="L223" s="321"/>
      <c r="N223" s="321"/>
      <c r="O223" s="321"/>
    </row>
    <row r="224" spans="1:15" ht="16.5" thickBot="1">
      <c r="A224" s="322"/>
      <c r="C224" s="389" t="s">
        <v>619</v>
      </c>
      <c r="D224" s="343"/>
      <c r="E224" s="431">
        <v>459998</v>
      </c>
      <c r="F224" s="321"/>
      <c r="G224" s="321"/>
      <c r="H224" s="321"/>
      <c r="I224" s="321"/>
      <c r="J224" s="430">
        <f>+E224</f>
        <v>459998</v>
      </c>
      <c r="K224" s="316"/>
      <c r="L224" s="321"/>
      <c r="N224" s="321"/>
      <c r="O224" s="321"/>
    </row>
    <row r="225" spans="1:15" ht="16.5" thickBot="1">
      <c r="A225" s="322">
        <v>31</v>
      </c>
      <c r="C225" s="329" t="s">
        <v>620</v>
      </c>
      <c r="D225" s="321"/>
      <c r="E225" s="432">
        <f>+E217-E220-E224</f>
        <v>98574575.827124208</v>
      </c>
      <c r="F225" s="321"/>
      <c r="G225" s="321"/>
      <c r="H225" s="321"/>
      <c r="I225" s="321"/>
      <c r="J225" s="432">
        <f>+J217-J220-J224</f>
        <v>24230358.049329542</v>
      </c>
      <c r="K225" s="316"/>
      <c r="L225" s="321"/>
      <c r="N225" s="321"/>
      <c r="O225" s="321"/>
    </row>
    <row r="226" spans="1:15" ht="16.5" thickTop="1">
      <c r="A226" s="322"/>
      <c r="C226" s="389" t="s">
        <v>621</v>
      </c>
      <c r="D226" s="321"/>
      <c r="E226" s="392"/>
      <c r="F226" s="321"/>
      <c r="G226" s="321"/>
      <c r="H226" s="321"/>
      <c r="I226" s="321"/>
      <c r="J226" s="392"/>
      <c r="K226" s="316"/>
      <c r="L226" s="321"/>
      <c r="N226" s="321"/>
      <c r="O226" s="321"/>
    </row>
    <row r="227" spans="1:15">
      <c r="A227" s="322"/>
      <c r="C227" s="329"/>
      <c r="D227" s="321"/>
      <c r="E227" s="392"/>
      <c r="F227" s="321"/>
      <c r="G227" s="321"/>
      <c r="H227" s="321"/>
      <c r="I227" s="321"/>
      <c r="J227" s="392"/>
      <c r="K227" s="316"/>
      <c r="L227" s="321"/>
      <c r="N227" s="321"/>
      <c r="O227" s="321"/>
    </row>
    <row r="228" spans="1:15">
      <c r="A228" s="322"/>
      <c r="C228" s="329"/>
      <c r="D228" s="321"/>
      <c r="E228" s="392"/>
      <c r="F228" s="321"/>
      <c r="G228" s="321"/>
      <c r="H228" s="321"/>
      <c r="I228" s="321"/>
      <c r="J228" s="392"/>
      <c r="K228" s="316"/>
      <c r="L228" s="321"/>
      <c r="N228" s="321"/>
      <c r="O228" s="321"/>
    </row>
    <row r="229" spans="1:15">
      <c r="A229" s="310"/>
      <c r="C229" s="329"/>
      <c r="D229" s="321"/>
      <c r="E229" s="392"/>
      <c r="F229" s="321"/>
      <c r="G229" s="321"/>
      <c r="H229" s="394"/>
      <c r="I229" s="321"/>
      <c r="J229" s="392"/>
      <c r="K229" s="330"/>
      <c r="L229" s="392"/>
      <c r="N229" s="392"/>
      <c r="O229" s="392"/>
    </row>
    <row r="230" spans="1:15">
      <c r="A230" s="310"/>
      <c r="C230" s="375"/>
      <c r="D230" s="321"/>
      <c r="E230" s="392"/>
      <c r="F230" s="321"/>
      <c r="G230" s="321"/>
      <c r="H230" s="394"/>
      <c r="I230" s="321"/>
      <c r="J230" s="392"/>
      <c r="K230" s="321"/>
      <c r="L230" s="321"/>
      <c r="N230" s="321"/>
      <c r="O230" s="321"/>
    </row>
    <row r="231" spans="1:15">
      <c r="A231" s="310"/>
      <c r="C231" s="375"/>
      <c r="D231" s="321"/>
      <c r="E231" s="392"/>
      <c r="F231" s="321"/>
      <c r="G231" s="321"/>
      <c r="H231" s="394"/>
      <c r="I231" s="321"/>
      <c r="J231" s="392"/>
      <c r="K231" s="321"/>
      <c r="L231" s="321"/>
      <c r="N231" s="321"/>
      <c r="O231" s="321"/>
    </row>
    <row r="232" spans="1:15">
      <c r="A232" s="310"/>
      <c r="C232" s="375"/>
      <c r="D232" s="321"/>
      <c r="E232" s="392"/>
      <c r="F232" s="321"/>
      <c r="G232" s="321"/>
      <c r="H232" s="394"/>
      <c r="I232" s="321"/>
      <c r="J232" s="392"/>
      <c r="K232" s="321"/>
      <c r="L232" s="428"/>
    </row>
    <row r="233" spans="1:15">
      <c r="C233" s="310"/>
      <c r="D233" s="310"/>
      <c r="E233" s="311"/>
      <c r="F233" s="310"/>
      <c r="G233" s="310"/>
      <c r="H233" s="310"/>
      <c r="I233" s="312"/>
      <c r="J233" s="322"/>
      <c r="K233" s="322"/>
      <c r="L233" s="314"/>
    </row>
    <row r="234" spans="1:15">
      <c r="C234" s="310"/>
      <c r="D234" s="310"/>
      <c r="E234" s="311"/>
      <c r="F234" s="310"/>
      <c r="G234" s="310"/>
      <c r="H234" s="310"/>
      <c r="I234" s="312"/>
      <c r="J234" s="313"/>
      <c r="K234" s="313"/>
      <c r="L234" s="314"/>
    </row>
    <row r="235" spans="1:15">
      <c r="C235" s="310"/>
      <c r="D235" s="310"/>
      <c r="E235" s="311"/>
      <c r="F235" s="310"/>
      <c r="G235" s="310"/>
      <c r="H235" s="310"/>
      <c r="I235" s="312"/>
      <c r="J235" s="312"/>
      <c r="L235" s="315" t="s">
        <v>1</v>
      </c>
    </row>
    <row r="236" spans="1:15">
      <c r="C236" s="310"/>
      <c r="D236" s="310"/>
      <c r="E236" s="311"/>
      <c r="F236" s="310"/>
      <c r="G236" s="310"/>
      <c r="H236" s="310"/>
      <c r="I236" s="312"/>
      <c r="J236" s="312"/>
      <c r="K236" s="316"/>
      <c r="L236" s="317" t="s">
        <v>622</v>
      </c>
    </row>
    <row r="237" spans="1:15">
      <c r="C237" s="310"/>
      <c r="D237" s="310"/>
      <c r="E237" s="311"/>
      <c r="F237" s="310"/>
      <c r="G237" s="310"/>
      <c r="H237" s="310"/>
      <c r="I237" s="312"/>
      <c r="J237" s="312"/>
      <c r="K237" s="316"/>
      <c r="L237" s="317"/>
    </row>
    <row r="238" spans="1:15">
      <c r="C238" s="310" t="s">
        <v>435</v>
      </c>
      <c r="D238" s="310"/>
      <c r="E238" s="311" t="s">
        <v>436</v>
      </c>
      <c r="F238" s="310"/>
      <c r="G238" s="310"/>
      <c r="H238" s="310"/>
      <c r="I238" s="312"/>
      <c r="J238" s="319" t="str">
        <f>J5</f>
        <v>For the 12 months ended 12/31/14</v>
      </c>
      <c r="K238" s="320"/>
      <c r="L238" s="320"/>
    </row>
    <row r="239" spans="1:15">
      <c r="C239" s="310"/>
      <c r="D239" s="321" t="s">
        <v>145</v>
      </c>
      <c r="E239" s="321" t="s">
        <v>438</v>
      </c>
      <c r="F239" s="321"/>
      <c r="G239" s="321"/>
      <c r="H239" s="321"/>
      <c r="I239" s="312"/>
      <c r="J239" s="312"/>
      <c r="K239" s="316"/>
      <c r="L239" s="318"/>
    </row>
    <row r="240" spans="1:15">
      <c r="A240" s="322"/>
      <c r="K240" s="321"/>
      <c r="L240" s="330"/>
    </row>
    <row r="241" spans="1:20">
      <c r="A241" s="322"/>
      <c r="E241" s="323" t="str">
        <f>E8</f>
        <v>Montana-Dakota Utilities Co.</v>
      </c>
      <c r="F241" s="324"/>
      <c r="G241" s="324"/>
      <c r="K241" s="321"/>
      <c r="L241" s="330"/>
    </row>
    <row r="242" spans="1:20">
      <c r="A242" s="322"/>
      <c r="D242" s="385" t="s">
        <v>623</v>
      </c>
      <c r="F242" s="316"/>
      <c r="G242" s="316"/>
      <c r="H242" s="316"/>
      <c r="I242" s="316"/>
      <c r="J242" s="316"/>
      <c r="K242" s="321"/>
      <c r="L242" s="330"/>
    </row>
    <row r="243" spans="1:20">
      <c r="A243" s="322" t="s">
        <v>439</v>
      </c>
      <c r="C243" s="385"/>
      <c r="D243" s="316"/>
      <c r="E243" s="316"/>
      <c r="F243" s="316"/>
      <c r="G243" s="316"/>
      <c r="H243" s="316"/>
      <c r="I243" s="316"/>
      <c r="J243" s="316"/>
      <c r="K243" s="321"/>
      <c r="L243" s="330"/>
    </row>
    <row r="244" spans="1:20" ht="16.5" thickBot="1">
      <c r="A244" s="326" t="s">
        <v>440</v>
      </c>
      <c r="C244" s="433" t="s">
        <v>624</v>
      </c>
      <c r="D244" s="318"/>
      <c r="E244" s="318"/>
      <c r="F244" s="318"/>
      <c r="G244" s="318"/>
      <c r="H244" s="318"/>
      <c r="I244" s="374"/>
      <c r="J244" s="374"/>
      <c r="K244" s="330"/>
      <c r="L244" s="330"/>
    </row>
    <row r="245" spans="1:20">
      <c r="A245" s="322"/>
      <c r="C245" s="433"/>
      <c r="D245" s="318"/>
      <c r="E245" s="318"/>
      <c r="F245" s="318"/>
      <c r="G245" s="318"/>
      <c r="H245" s="318"/>
      <c r="I245" s="318"/>
      <c r="J245" s="318"/>
      <c r="K245" s="330"/>
      <c r="L245" s="330"/>
    </row>
    <row r="246" spans="1:20">
      <c r="A246" s="322">
        <v>1</v>
      </c>
      <c r="C246" s="358" t="s">
        <v>625</v>
      </c>
      <c r="D246" s="318"/>
      <c r="E246" s="330"/>
      <c r="F246" s="330"/>
      <c r="G246" s="330"/>
      <c r="H246" s="330"/>
      <c r="I246" s="330"/>
      <c r="J246" s="330">
        <f>E93</f>
        <v>202507883</v>
      </c>
      <c r="K246" s="330"/>
      <c r="L246" s="330"/>
    </row>
    <row r="247" spans="1:20">
      <c r="A247" s="322">
        <v>2</v>
      </c>
      <c r="C247" s="358" t="s">
        <v>626</v>
      </c>
      <c r="D247" s="374"/>
      <c r="E247" s="374"/>
      <c r="F247" s="374"/>
      <c r="G247" s="374"/>
      <c r="H247" s="374"/>
      <c r="I247" s="374"/>
      <c r="J247" s="334">
        <v>0</v>
      </c>
      <c r="K247" s="330"/>
      <c r="L247" s="330"/>
    </row>
    <row r="248" spans="1:20" ht="16.5" thickBot="1">
      <c r="A248" s="322">
        <v>3</v>
      </c>
      <c r="C248" s="434" t="s">
        <v>627</v>
      </c>
      <c r="D248" s="435"/>
      <c r="E248" s="436"/>
      <c r="F248" s="330"/>
      <c r="G248" s="330"/>
      <c r="H248" s="437"/>
      <c r="I248" s="330"/>
      <c r="J248" s="393">
        <v>9672596</v>
      </c>
      <c r="K248" s="330"/>
      <c r="L248" s="330"/>
    </row>
    <row r="249" spans="1:20">
      <c r="A249" s="322">
        <v>4</v>
      </c>
      <c r="C249" s="358" t="s">
        <v>628</v>
      </c>
      <c r="D249" s="318"/>
      <c r="E249" s="330"/>
      <c r="F249" s="330"/>
      <c r="G249" s="330"/>
      <c r="H249" s="437"/>
      <c r="I249" s="330"/>
      <c r="J249" s="330">
        <f>J246-J247-J248</f>
        <v>192835287</v>
      </c>
      <c r="K249" s="330"/>
      <c r="L249" s="330"/>
    </row>
    <row r="250" spans="1:20">
      <c r="A250" s="322"/>
      <c r="C250" s="374"/>
      <c r="D250" s="318"/>
      <c r="E250" s="330"/>
      <c r="F250" s="330"/>
      <c r="G250" s="330"/>
      <c r="H250" s="437"/>
      <c r="I250" s="330"/>
      <c r="J250" s="374"/>
      <c r="K250" s="330"/>
      <c r="L250" s="330"/>
      <c r="N250" s="438"/>
      <c r="O250" s="438"/>
      <c r="P250" s="438"/>
      <c r="Q250" s="438"/>
      <c r="R250" s="438"/>
      <c r="S250" s="438"/>
      <c r="T250" s="438"/>
    </row>
    <row r="251" spans="1:20">
      <c r="A251" s="322">
        <v>5</v>
      </c>
      <c r="C251" s="358" t="s">
        <v>629</v>
      </c>
      <c r="D251" s="439"/>
      <c r="E251" s="440"/>
      <c r="F251" s="440"/>
      <c r="G251" s="440"/>
      <c r="H251" s="441"/>
      <c r="I251" s="330" t="s">
        <v>630</v>
      </c>
      <c r="J251" s="397">
        <f>IF(J246&gt;0,J249/J246,0)</f>
        <v>0.95223595320484389</v>
      </c>
      <c r="K251" s="330"/>
      <c r="L251" s="330"/>
      <c r="N251" s="438"/>
      <c r="O251" s="438"/>
      <c r="P251" s="438"/>
      <c r="Q251" s="438"/>
      <c r="R251" s="438"/>
      <c r="S251" s="438"/>
      <c r="T251" s="438"/>
    </row>
    <row r="252" spans="1:20">
      <c r="A252" s="322"/>
      <c r="C252" s="374"/>
      <c r="D252" s="374"/>
      <c r="E252" s="374"/>
      <c r="F252" s="374"/>
      <c r="G252" s="374"/>
      <c r="H252" s="374"/>
      <c r="I252" s="374"/>
      <c r="J252" s="374"/>
      <c r="K252" s="330"/>
      <c r="L252" s="330"/>
      <c r="N252" s="442"/>
      <c r="O252" s="442"/>
      <c r="P252" s="442"/>
      <c r="Q252" s="438"/>
      <c r="R252" s="438"/>
      <c r="S252" s="438"/>
      <c r="T252" s="438"/>
    </row>
    <row r="253" spans="1:20">
      <c r="A253" s="322"/>
      <c r="C253" s="375" t="s">
        <v>631</v>
      </c>
      <c r="D253" s="374"/>
      <c r="E253" s="374"/>
      <c r="F253" s="374"/>
      <c r="G253" s="374"/>
      <c r="H253" s="374"/>
      <c r="I253" s="374"/>
      <c r="J253" s="374"/>
      <c r="K253" s="330"/>
      <c r="L253" s="330"/>
      <c r="N253" s="443"/>
      <c r="O253" s="444"/>
      <c r="P253" s="445"/>
      <c r="Q253" s="443"/>
      <c r="R253" s="444"/>
      <c r="S253" s="444"/>
      <c r="T253" s="438"/>
    </row>
    <row r="254" spans="1:20">
      <c r="A254" s="322"/>
      <c r="C254" s="374"/>
      <c r="D254" s="374"/>
      <c r="E254" s="374"/>
      <c r="F254" s="374"/>
      <c r="G254" s="374"/>
      <c r="H254" s="374"/>
      <c r="I254" s="374"/>
      <c r="J254" s="374"/>
      <c r="K254" s="330"/>
      <c r="L254" s="330"/>
      <c r="N254" s="524"/>
      <c r="O254" s="525"/>
      <c r="P254" s="525"/>
      <c r="Q254" s="525"/>
      <c r="R254" s="525"/>
      <c r="S254" s="525"/>
      <c r="T254" s="438"/>
    </row>
    <row r="255" spans="1:20">
      <c r="A255" s="322">
        <v>6</v>
      </c>
      <c r="C255" s="374" t="s">
        <v>632</v>
      </c>
      <c r="D255" s="374"/>
      <c r="E255" s="318"/>
      <c r="F255" s="318"/>
      <c r="G255" s="318"/>
      <c r="H255" s="380"/>
      <c r="I255" s="318"/>
      <c r="J255" s="330">
        <f>E172</f>
        <v>13719043</v>
      </c>
      <c r="K255" s="330"/>
      <c r="L255" s="330"/>
      <c r="N255" s="446"/>
      <c r="O255" s="447"/>
      <c r="P255" s="448"/>
      <c r="Q255" s="449"/>
      <c r="R255" s="447"/>
      <c r="S255" s="447"/>
      <c r="T255" s="438"/>
    </row>
    <row r="256" spans="1:20" ht="16.5" thickBot="1">
      <c r="A256" s="322">
        <v>7</v>
      </c>
      <c r="C256" s="434" t="s">
        <v>633</v>
      </c>
      <c r="D256" s="435"/>
      <c r="E256" s="436"/>
      <c r="F256" s="436"/>
      <c r="G256" s="330"/>
      <c r="H256" s="330"/>
      <c r="I256" s="330"/>
      <c r="J256" s="393">
        <v>1425540</v>
      </c>
      <c r="K256" s="330"/>
      <c r="L256" s="330"/>
      <c r="M256" s="358"/>
      <c r="N256" s="450"/>
      <c r="O256" s="451"/>
      <c r="P256" s="448"/>
      <c r="Q256" s="449"/>
      <c r="R256" s="447"/>
      <c r="S256" s="447"/>
      <c r="T256" s="438"/>
    </row>
    <row r="257" spans="1:20">
      <c r="A257" s="322">
        <v>8</v>
      </c>
      <c r="C257" s="358" t="s">
        <v>634</v>
      </c>
      <c r="D257" s="439"/>
      <c r="E257" s="440"/>
      <c r="F257" s="440"/>
      <c r="G257" s="440"/>
      <c r="H257" s="441"/>
      <c r="I257" s="440"/>
      <c r="J257" s="330">
        <f>+J255-J256</f>
        <v>12293503</v>
      </c>
      <c r="K257" s="374"/>
      <c r="N257" s="452"/>
      <c r="O257" s="453"/>
      <c r="P257" s="454"/>
      <c r="Q257" s="454"/>
      <c r="R257" s="446"/>
      <c r="S257" s="446"/>
      <c r="T257" s="438"/>
    </row>
    <row r="258" spans="1:20">
      <c r="A258" s="322"/>
      <c r="C258" s="358"/>
      <c r="D258" s="318"/>
      <c r="E258" s="330"/>
      <c r="F258" s="330"/>
      <c r="G258" s="330"/>
      <c r="H258" s="330"/>
      <c r="I258" s="374"/>
      <c r="J258" s="374"/>
      <c r="K258" s="374"/>
      <c r="N258" s="450"/>
      <c r="O258" s="453"/>
      <c r="P258" s="446"/>
      <c r="Q258" s="446"/>
      <c r="R258" s="446"/>
      <c r="S258" s="446"/>
      <c r="T258" s="438"/>
    </row>
    <row r="259" spans="1:20">
      <c r="A259" s="322">
        <v>9</v>
      </c>
      <c r="C259" s="358" t="s">
        <v>635</v>
      </c>
      <c r="D259" s="318"/>
      <c r="E259" s="330"/>
      <c r="F259" s="330"/>
      <c r="G259" s="330"/>
      <c r="H259" s="330"/>
      <c r="I259" s="330"/>
      <c r="J259" s="414">
        <f>IF(J255&gt;0,J257/J255,0)</f>
        <v>0.89609041971805181</v>
      </c>
      <c r="K259" s="374"/>
      <c r="N259" s="449"/>
      <c r="O259" s="455"/>
      <c r="P259" s="456"/>
      <c r="Q259" s="456"/>
      <c r="R259" s="447"/>
      <c r="S259" s="447"/>
      <c r="T259" s="438"/>
    </row>
    <row r="260" spans="1:20">
      <c r="A260" s="322">
        <v>10</v>
      </c>
      <c r="C260" s="358" t="s">
        <v>636</v>
      </c>
      <c r="D260" s="318"/>
      <c r="E260" s="330"/>
      <c r="F260" s="330"/>
      <c r="G260" s="330"/>
      <c r="H260" s="330"/>
      <c r="I260" s="318" t="s">
        <v>448</v>
      </c>
      <c r="J260" s="457">
        <f>J251</f>
        <v>0.95223595320484389</v>
      </c>
      <c r="K260" s="374"/>
      <c r="N260" s="450"/>
      <c r="O260" s="456"/>
      <c r="P260" s="446"/>
      <c r="Q260" s="456"/>
      <c r="R260" s="447"/>
      <c r="S260" s="447"/>
      <c r="T260" s="438"/>
    </row>
    <row r="261" spans="1:20">
      <c r="A261" s="322">
        <v>11</v>
      </c>
      <c r="C261" s="358" t="s">
        <v>637</v>
      </c>
      <c r="D261" s="318"/>
      <c r="E261" s="318"/>
      <c r="F261" s="318"/>
      <c r="G261" s="318"/>
      <c r="H261" s="318"/>
      <c r="I261" s="318" t="s">
        <v>638</v>
      </c>
      <c r="J261" s="458">
        <f>+J260*J259</f>
        <v>0.85328951497794769</v>
      </c>
      <c r="K261" s="374"/>
      <c r="N261" s="452"/>
      <c r="O261" s="456"/>
      <c r="P261" s="446"/>
      <c r="Q261" s="456"/>
      <c r="R261" s="447"/>
      <c r="S261" s="447"/>
      <c r="T261" s="438"/>
    </row>
    <row r="262" spans="1:20">
      <c r="A262" s="322"/>
      <c r="D262" s="316"/>
      <c r="E262" s="321"/>
      <c r="F262" s="321"/>
      <c r="G262" s="321"/>
      <c r="H262" s="459"/>
      <c r="I262" s="321"/>
      <c r="N262" s="452"/>
      <c r="O262" s="456"/>
      <c r="P262" s="446"/>
      <c r="Q262" s="460"/>
      <c r="R262" s="447"/>
      <c r="S262" s="447"/>
      <c r="T262" s="438"/>
    </row>
    <row r="263" spans="1:20">
      <c r="A263" s="322" t="s">
        <v>145</v>
      </c>
      <c r="C263" s="329" t="s">
        <v>639</v>
      </c>
      <c r="D263" s="321"/>
      <c r="E263" s="321"/>
      <c r="F263" s="321"/>
      <c r="G263" s="321"/>
      <c r="H263" s="321"/>
      <c r="I263" s="321"/>
      <c r="J263" s="321"/>
      <c r="K263" s="321"/>
      <c r="L263" s="330"/>
      <c r="N263" s="450"/>
      <c r="O263" s="453"/>
      <c r="P263" s="448"/>
      <c r="Q263" s="449"/>
      <c r="R263" s="447"/>
      <c r="S263" s="447"/>
      <c r="T263" s="438"/>
    </row>
    <row r="264" spans="1:20" ht="16.5" thickBot="1">
      <c r="A264" s="322" t="s">
        <v>145</v>
      </c>
      <c r="C264" s="329"/>
      <c r="D264" s="337" t="s">
        <v>640</v>
      </c>
      <c r="E264" s="461" t="s">
        <v>641</v>
      </c>
      <c r="F264" s="461" t="s">
        <v>448</v>
      </c>
      <c r="G264" s="321"/>
      <c r="H264" s="461" t="s">
        <v>642</v>
      </c>
      <c r="I264" s="321"/>
      <c r="J264" s="321"/>
      <c r="K264" s="321"/>
      <c r="L264" s="330"/>
      <c r="N264" s="450"/>
      <c r="O264" s="453"/>
      <c r="P264" s="448"/>
      <c r="Q264" s="449"/>
      <c r="R264" s="447"/>
      <c r="S264" s="447"/>
      <c r="T264" s="438"/>
    </row>
    <row r="265" spans="1:20">
      <c r="A265" s="322">
        <v>12</v>
      </c>
      <c r="C265" s="329" t="s">
        <v>510</v>
      </c>
      <c r="D265" s="321" t="s">
        <v>322</v>
      </c>
      <c r="E265" s="334">
        <v>8299822</v>
      </c>
      <c r="F265" s="462">
        <v>0</v>
      </c>
      <c r="G265" s="462"/>
      <c r="H265" s="321">
        <f>E265*F265</f>
        <v>0</v>
      </c>
      <c r="I265" s="321"/>
      <c r="J265" s="321"/>
      <c r="K265" s="321"/>
      <c r="L265" s="330"/>
      <c r="N265" s="438"/>
      <c r="O265" s="438"/>
      <c r="P265" s="438"/>
      <c r="Q265" s="438"/>
      <c r="R265" s="438"/>
      <c r="S265" s="438"/>
      <c r="T265" s="438"/>
    </row>
    <row r="266" spans="1:20">
      <c r="A266" s="322">
        <v>13</v>
      </c>
      <c r="C266" s="329" t="s">
        <v>512</v>
      </c>
      <c r="D266" s="321" t="s">
        <v>323</v>
      </c>
      <c r="E266" s="334">
        <v>3265486</v>
      </c>
      <c r="F266" s="462">
        <f>+J251</f>
        <v>0.95223595320484389</v>
      </c>
      <c r="G266" s="462"/>
      <c r="H266" s="321">
        <f>E266*F266</f>
        <v>3109513.1738870731</v>
      </c>
      <c r="I266" s="321"/>
      <c r="J266" s="321"/>
      <c r="K266" s="321"/>
      <c r="L266" s="330"/>
      <c r="N266" s="438"/>
      <c r="O266" s="438"/>
      <c r="P266" s="438"/>
      <c r="Q266" s="438"/>
      <c r="R266" s="438"/>
      <c r="S266" s="438"/>
      <c r="T266" s="438"/>
    </row>
    <row r="267" spans="1:20">
      <c r="A267" s="322">
        <v>14</v>
      </c>
      <c r="C267" s="329" t="s">
        <v>513</v>
      </c>
      <c r="D267" s="321" t="s">
        <v>324</v>
      </c>
      <c r="E267" s="334">
        <v>8083920</v>
      </c>
      <c r="F267" s="462">
        <v>0</v>
      </c>
      <c r="G267" s="462"/>
      <c r="H267" s="321">
        <f>E267*F267</f>
        <v>0</v>
      </c>
      <c r="I267" s="321"/>
      <c r="J267" s="463" t="s">
        <v>643</v>
      </c>
      <c r="K267" s="321"/>
      <c r="L267" s="330"/>
      <c r="N267" s="438"/>
      <c r="O267" s="438"/>
      <c r="P267" s="438"/>
      <c r="Q267" s="438"/>
      <c r="R267" s="438"/>
      <c r="S267" s="438"/>
      <c r="T267" s="438"/>
    </row>
    <row r="268" spans="1:20" ht="16.5" thickBot="1">
      <c r="A268" s="322">
        <v>15</v>
      </c>
      <c r="C268" s="329" t="s">
        <v>644</v>
      </c>
      <c r="D268" s="321" t="s">
        <v>645</v>
      </c>
      <c r="E268" s="393">
        <f>1832775+88077+83080</f>
        <v>2003932</v>
      </c>
      <c r="F268" s="462">
        <v>0</v>
      </c>
      <c r="G268" s="462"/>
      <c r="H268" s="337">
        <f>E268*F268</f>
        <v>0</v>
      </c>
      <c r="I268" s="321"/>
      <c r="J268" s="326" t="s">
        <v>646</v>
      </c>
      <c r="K268" s="321"/>
      <c r="L268" s="330"/>
      <c r="N268" s="438"/>
      <c r="O268" s="438"/>
      <c r="P268" s="438"/>
      <c r="Q268" s="438"/>
      <c r="R268" s="438"/>
      <c r="S268" s="438"/>
      <c r="T268" s="438"/>
    </row>
    <row r="269" spans="1:20">
      <c r="A269" s="322">
        <v>16</v>
      </c>
      <c r="C269" s="329" t="s">
        <v>647</v>
      </c>
      <c r="D269" s="321"/>
      <c r="E269" s="321">
        <f>SUM(E265:E268)</f>
        <v>21653160</v>
      </c>
      <c r="F269" s="321"/>
      <c r="G269" s="321"/>
      <c r="H269" s="321">
        <f>SUM(H265:H268)</f>
        <v>3109513.1738870731</v>
      </c>
      <c r="I269" s="377" t="s">
        <v>648</v>
      </c>
      <c r="J269" s="391">
        <f>IF(H269&gt;0,H269/E269,0)</f>
        <v>0.14360551410912187</v>
      </c>
      <c r="K269" s="459" t="s">
        <v>648</v>
      </c>
      <c r="L269" s="330" t="s">
        <v>649</v>
      </c>
    </row>
    <row r="270" spans="1:20">
      <c r="A270" s="322"/>
      <c r="C270" s="329"/>
      <c r="D270" s="321"/>
      <c r="E270" s="321"/>
      <c r="F270" s="321"/>
      <c r="G270" s="321"/>
      <c r="H270" s="321"/>
      <c r="I270" s="321"/>
      <c r="J270" s="321"/>
      <c r="K270" s="321"/>
      <c r="L270" s="330"/>
    </row>
    <row r="271" spans="1:20">
      <c r="A271" s="322"/>
      <c r="C271" s="329" t="s">
        <v>650</v>
      </c>
      <c r="D271" s="321"/>
      <c r="E271" s="321"/>
      <c r="F271" s="321"/>
      <c r="G271" s="321"/>
      <c r="H271" s="321"/>
      <c r="I271" s="321"/>
      <c r="J271" s="321"/>
      <c r="K271" s="321"/>
      <c r="L271" s="330"/>
    </row>
    <row r="272" spans="1:20">
      <c r="A272" s="322"/>
      <c r="C272" s="329"/>
      <c r="D272" s="321"/>
      <c r="E272" s="381" t="s">
        <v>641</v>
      </c>
      <c r="F272" s="321"/>
      <c r="G272" s="321"/>
      <c r="H272" s="459" t="s">
        <v>651</v>
      </c>
      <c r="I272" s="420" t="s">
        <v>145</v>
      </c>
      <c r="J272" s="394" t="str">
        <f>+J267</f>
        <v>W&amp;S Allocator</v>
      </c>
    </row>
    <row r="273" spans="1:19">
      <c r="A273" s="322">
        <v>17</v>
      </c>
      <c r="C273" s="329" t="s">
        <v>652</v>
      </c>
      <c r="D273" s="321" t="s">
        <v>332</v>
      </c>
      <c r="E273" s="334">
        <v>981381632</v>
      </c>
      <c r="F273" s="321"/>
      <c r="H273" s="322" t="s">
        <v>653</v>
      </c>
      <c r="I273" s="464"/>
      <c r="J273" s="322" t="s">
        <v>654</v>
      </c>
      <c r="K273" s="321"/>
      <c r="L273" s="380" t="s">
        <v>519</v>
      </c>
    </row>
    <row r="274" spans="1:19">
      <c r="A274" s="322">
        <v>18</v>
      </c>
      <c r="C274" s="329" t="s">
        <v>655</v>
      </c>
      <c r="D274" s="321" t="s">
        <v>333</v>
      </c>
      <c r="E274" s="334">
        <v>400468814</v>
      </c>
      <c r="F274" s="321"/>
      <c r="H274" s="332">
        <f>IF(E276&gt;0,E273/E276,0)</f>
        <v>0.7101938092076282</v>
      </c>
      <c r="I274" s="459" t="s">
        <v>656</v>
      </c>
      <c r="J274" s="332">
        <f>J269</f>
        <v>0.14360551410912187</v>
      </c>
      <c r="K274" s="420" t="s">
        <v>648</v>
      </c>
      <c r="L274" s="465">
        <f>J274*H274</f>
        <v>0.10198774708837706</v>
      </c>
    </row>
    <row r="275" spans="1:19" ht="16.5" thickBot="1">
      <c r="A275" s="322">
        <v>19</v>
      </c>
      <c r="C275" s="466" t="s">
        <v>657</v>
      </c>
      <c r="D275" s="337" t="s">
        <v>658</v>
      </c>
      <c r="E275" s="393">
        <v>0</v>
      </c>
      <c r="F275" s="321"/>
      <c r="G275" s="321"/>
      <c r="H275" s="321" t="s">
        <v>145</v>
      </c>
      <c r="I275" s="321"/>
      <c r="J275" s="321"/>
      <c r="K275" s="321"/>
      <c r="L275" s="330"/>
    </row>
    <row r="276" spans="1:19">
      <c r="A276" s="322">
        <v>20</v>
      </c>
      <c r="C276" s="329" t="s">
        <v>659</v>
      </c>
      <c r="D276" s="321"/>
      <c r="E276" s="321">
        <f>E273+E274+E275</f>
        <v>1381850446</v>
      </c>
      <c r="F276" s="321"/>
      <c r="G276" s="321"/>
      <c r="H276" s="321"/>
      <c r="I276" s="321"/>
      <c r="J276" s="321"/>
      <c r="K276" s="321"/>
      <c r="L276" s="330"/>
    </row>
    <row r="277" spans="1:19">
      <c r="A277" s="322"/>
      <c r="C277" s="329"/>
      <c r="D277" s="321"/>
      <c r="F277" s="321"/>
      <c r="G277" s="321"/>
      <c r="H277" s="321"/>
      <c r="I277" s="321"/>
      <c r="J277" s="321"/>
      <c r="K277" s="321"/>
      <c r="L277" s="330"/>
    </row>
    <row r="278" spans="1:19" ht="16.5" thickBot="1">
      <c r="A278" s="322"/>
      <c r="B278" s="312"/>
      <c r="C278" s="310" t="s">
        <v>660</v>
      </c>
      <c r="D278" s="321"/>
      <c r="E278" s="321"/>
      <c r="F278" s="321"/>
      <c r="G278" s="321"/>
      <c r="H278" s="321"/>
      <c r="I278" s="321"/>
      <c r="J278" s="461" t="s">
        <v>641</v>
      </c>
      <c r="K278" s="321"/>
      <c r="L278" s="330"/>
      <c r="N278" s="467"/>
      <c r="O278" s="336"/>
      <c r="P278" s="468"/>
      <c r="Q278" s="467"/>
      <c r="R278" s="336"/>
      <c r="S278" s="336"/>
    </row>
    <row r="279" spans="1:19">
      <c r="A279" s="322">
        <v>21</v>
      </c>
      <c r="B279" s="312"/>
      <c r="C279" s="312"/>
      <c r="D279" s="321" t="s">
        <v>661</v>
      </c>
      <c r="E279" s="321"/>
      <c r="F279" s="321"/>
      <c r="G279" s="321"/>
      <c r="H279" s="321"/>
      <c r="I279" s="321"/>
      <c r="J279" s="469">
        <f>21947953+240035+719510</f>
        <v>22907498</v>
      </c>
      <c r="K279" s="321"/>
      <c r="L279" s="330"/>
      <c r="N279" s="467"/>
      <c r="O279" s="336"/>
      <c r="P279" s="468"/>
      <c r="Q279" s="467"/>
      <c r="R279" s="336"/>
      <c r="S279" s="336"/>
    </row>
    <row r="280" spans="1:19">
      <c r="A280" s="322"/>
      <c r="C280" s="329"/>
      <c r="D280" s="321"/>
      <c r="E280" s="321"/>
      <c r="F280" s="321"/>
      <c r="G280" s="321"/>
      <c r="H280" s="321"/>
      <c r="I280" s="321"/>
      <c r="J280" s="321"/>
      <c r="K280" s="321"/>
      <c r="L280" s="330"/>
    </row>
    <row r="281" spans="1:19">
      <c r="A281" s="322">
        <v>22</v>
      </c>
      <c r="B281" s="312"/>
      <c r="C281" s="310"/>
      <c r="D281" s="321" t="s">
        <v>662</v>
      </c>
      <c r="E281" s="321"/>
      <c r="F281" s="321"/>
      <c r="G281" s="321"/>
      <c r="H281" s="321"/>
      <c r="I281" s="330"/>
      <c r="J281" s="470">
        <v>685003</v>
      </c>
      <c r="K281" s="321"/>
      <c r="L281" s="330"/>
    </row>
    <row r="282" spans="1:19">
      <c r="A282" s="322"/>
      <c r="B282" s="312"/>
      <c r="C282" s="310"/>
      <c r="D282" s="321"/>
      <c r="E282" s="321"/>
      <c r="F282" s="321"/>
      <c r="G282" s="321"/>
      <c r="H282" s="321"/>
      <c r="I282" s="321"/>
      <c r="J282" s="321"/>
      <c r="K282" s="321"/>
      <c r="L282" s="330"/>
    </row>
    <row r="283" spans="1:19">
      <c r="A283" s="322"/>
      <c r="B283" s="312"/>
      <c r="C283" s="310" t="s">
        <v>663</v>
      </c>
      <c r="D283" s="321"/>
      <c r="E283" s="321"/>
      <c r="F283" s="321"/>
      <c r="G283" s="321"/>
      <c r="H283" s="321"/>
      <c r="I283" s="321"/>
      <c r="J283" s="321"/>
      <c r="K283" s="321"/>
      <c r="L283" s="330"/>
    </row>
    <row r="284" spans="1:19">
      <c r="A284" s="322">
        <v>23</v>
      </c>
      <c r="B284" s="312"/>
      <c r="C284" s="310"/>
      <c r="D284" s="321" t="s">
        <v>664</v>
      </c>
      <c r="E284" s="312"/>
      <c r="F284" s="321"/>
      <c r="G284" s="321"/>
      <c r="H284" s="321"/>
      <c r="I284" s="321"/>
      <c r="J284" s="334">
        <f>2967802674+15000000</f>
        <v>2982802674</v>
      </c>
      <c r="K284" s="321"/>
      <c r="L284" s="330"/>
    </row>
    <row r="285" spans="1:19">
      <c r="A285" s="322">
        <v>24</v>
      </c>
      <c r="B285" s="312"/>
      <c r="C285" s="310"/>
      <c r="D285" s="321" t="s">
        <v>665</v>
      </c>
      <c r="E285" s="321"/>
      <c r="F285" s="321"/>
      <c r="G285" s="321"/>
      <c r="H285" s="321"/>
      <c r="I285" s="321"/>
      <c r="J285" s="471">
        <f>-E291</f>
        <v>-15000000</v>
      </c>
      <c r="K285" s="321"/>
      <c r="L285" s="330"/>
    </row>
    <row r="286" spans="1:19" ht="16.5" thickBot="1">
      <c r="A286" s="322">
        <v>25</v>
      </c>
      <c r="B286" s="312"/>
      <c r="C286" s="310"/>
      <c r="D286" s="321" t="s">
        <v>666</v>
      </c>
      <c r="E286" s="321"/>
      <c r="F286" s="321"/>
      <c r="G286" s="321"/>
      <c r="H286" s="321"/>
      <c r="I286" s="321"/>
      <c r="J286" s="393">
        <v>-2491981195</v>
      </c>
      <c r="K286" s="321"/>
      <c r="L286" s="330"/>
    </row>
    <row r="287" spans="1:19">
      <c r="A287" s="322">
        <v>26</v>
      </c>
      <c r="B287" s="312"/>
      <c r="C287" s="312"/>
      <c r="D287" s="321" t="s">
        <v>667</v>
      </c>
      <c r="E287" s="312" t="s">
        <v>668</v>
      </c>
      <c r="F287" s="312"/>
      <c r="G287" s="312"/>
      <c r="H287" s="312"/>
      <c r="I287" s="312"/>
      <c r="J287" s="321">
        <f>+J284+J285+J286</f>
        <v>475821479</v>
      </c>
      <c r="K287" s="321"/>
      <c r="L287" s="330"/>
    </row>
    <row r="288" spans="1:19">
      <c r="A288" s="322"/>
      <c r="C288" s="329"/>
      <c r="D288" s="321"/>
      <c r="E288" s="321"/>
      <c r="F288" s="321"/>
      <c r="G288" s="321"/>
      <c r="H288" s="459" t="s">
        <v>669</v>
      </c>
      <c r="I288" s="321"/>
      <c r="J288" s="321"/>
      <c r="K288" s="321"/>
      <c r="L288" s="330"/>
    </row>
    <row r="289" spans="1:16" ht="16.5" thickBot="1">
      <c r="A289" s="322"/>
      <c r="C289" s="329"/>
      <c r="D289" s="321"/>
      <c r="E289" s="326" t="s">
        <v>641</v>
      </c>
      <c r="F289" s="326" t="s">
        <v>670</v>
      </c>
      <c r="G289" s="321"/>
      <c r="H289" s="326" t="s">
        <v>671</v>
      </c>
      <c r="I289" s="321"/>
      <c r="J289" s="326" t="s">
        <v>672</v>
      </c>
      <c r="K289" s="321"/>
      <c r="L289" s="330"/>
    </row>
    <row r="290" spans="1:16">
      <c r="A290" s="322">
        <v>27</v>
      </c>
      <c r="C290" s="310" t="s">
        <v>673</v>
      </c>
      <c r="E290" s="334">
        <v>440002686</v>
      </c>
      <c r="F290" s="472">
        <f>IF($E$293&gt;0,E290/$E$293,0)</f>
        <v>0.47270225950784162</v>
      </c>
      <c r="G290" s="473"/>
      <c r="H290" s="473">
        <f>IF(E290&gt;0,J279/E290,0)</f>
        <v>5.2062177638615599E-2</v>
      </c>
      <c r="J290" s="473">
        <f>H290*F290</f>
        <v>2.460990900467222E-2</v>
      </c>
      <c r="K290" s="474" t="s">
        <v>674</v>
      </c>
    </row>
    <row r="291" spans="1:16">
      <c r="A291" s="322">
        <v>28</v>
      </c>
      <c r="C291" s="310" t="s">
        <v>675</v>
      </c>
      <c r="E291" s="334">
        <v>15000000</v>
      </c>
      <c r="F291" s="472">
        <f>IF($E$293&gt;0,E291/$E$293,0)</f>
        <v>1.6114751382716841E-2</v>
      </c>
      <c r="G291" s="473"/>
      <c r="H291" s="473">
        <f>IF(E291&gt;0,J281/E291,0)</f>
        <v>4.5666866666666667E-2</v>
      </c>
      <c r="J291" s="473">
        <f>H291*F291</f>
        <v>7.3591020276101229E-4</v>
      </c>
      <c r="K291" s="321"/>
    </row>
    <row r="292" spans="1:16" ht="16.5" thickBot="1">
      <c r="A292" s="322">
        <v>29</v>
      </c>
      <c r="C292" s="310" t="s">
        <v>676</v>
      </c>
      <c r="E292" s="337">
        <f>J287</f>
        <v>475821479</v>
      </c>
      <c r="F292" s="472">
        <f>IF($E$293&gt;0,E292/$E$293,0)</f>
        <v>0.51118298910944149</v>
      </c>
      <c r="G292" s="473"/>
      <c r="H292" s="475">
        <v>0.12379999999999999</v>
      </c>
      <c r="J292" s="476">
        <f>H292*F292</f>
        <v>6.3284454051748859E-2</v>
      </c>
      <c r="K292" s="321"/>
    </row>
    <row r="293" spans="1:16">
      <c r="A293" s="322">
        <v>30</v>
      </c>
      <c r="C293" s="329" t="s">
        <v>677</v>
      </c>
      <c r="E293" s="321">
        <f>E292+E291+E290</f>
        <v>930824165</v>
      </c>
      <c r="F293" s="321" t="s">
        <v>145</v>
      </c>
      <c r="G293" s="321"/>
      <c r="H293" s="321"/>
      <c r="I293" s="321"/>
      <c r="J293" s="473">
        <f>SUM(J290:J292)</f>
        <v>8.8630273259182088E-2</v>
      </c>
      <c r="K293" s="474" t="s">
        <v>678</v>
      </c>
    </row>
    <row r="294" spans="1:16">
      <c r="F294" s="321"/>
      <c r="G294" s="321"/>
      <c r="H294" s="321"/>
      <c r="I294" s="321"/>
    </row>
    <row r="295" spans="1:16">
      <c r="A295" s="322"/>
      <c r="L295" s="330"/>
    </row>
    <row r="296" spans="1:16">
      <c r="A296" s="322"/>
      <c r="C296" s="310" t="s">
        <v>679</v>
      </c>
      <c r="D296" s="312"/>
      <c r="E296" s="312"/>
      <c r="F296" s="312"/>
      <c r="G296" s="312"/>
      <c r="H296" s="312"/>
      <c r="I296" s="312"/>
      <c r="J296" s="312"/>
      <c r="K296" s="312"/>
      <c r="L296" s="358"/>
    </row>
    <row r="297" spans="1:16" ht="16.5" thickBot="1">
      <c r="A297" s="322"/>
      <c r="C297" s="310"/>
      <c r="D297" s="310"/>
      <c r="E297" s="310"/>
      <c r="F297" s="310"/>
      <c r="G297" s="310"/>
      <c r="H297" s="310"/>
      <c r="I297" s="310"/>
      <c r="J297" s="326" t="s">
        <v>680</v>
      </c>
      <c r="K297" s="477"/>
    </row>
    <row r="298" spans="1:16">
      <c r="A298" s="322"/>
      <c r="C298" s="310" t="s">
        <v>681</v>
      </c>
      <c r="D298" s="312"/>
      <c r="E298" s="312" t="s">
        <v>682</v>
      </c>
      <c r="F298" s="312" t="s">
        <v>683</v>
      </c>
      <c r="G298" s="312"/>
      <c r="H298" s="478" t="s">
        <v>145</v>
      </c>
      <c r="I298" s="479"/>
      <c r="J298" s="480"/>
      <c r="K298" s="480"/>
    </row>
    <row r="299" spans="1:16">
      <c r="A299" s="322">
        <v>31</v>
      </c>
      <c r="C299" s="309" t="s">
        <v>684</v>
      </c>
      <c r="D299" s="312"/>
      <c r="E299" s="312"/>
      <c r="G299" s="312"/>
      <c r="I299" s="479"/>
      <c r="J299" s="481">
        <v>0</v>
      </c>
      <c r="K299" s="482"/>
    </row>
    <row r="300" spans="1:16" ht="16.5" thickBot="1">
      <c r="A300" s="322">
        <v>32</v>
      </c>
      <c r="C300" s="404" t="s">
        <v>685</v>
      </c>
      <c r="D300" s="483"/>
      <c r="E300" s="404"/>
      <c r="F300" s="484"/>
      <c r="G300" s="484"/>
      <c r="H300" s="484"/>
      <c r="I300" s="312"/>
      <c r="J300" s="485">
        <v>0</v>
      </c>
      <c r="K300" s="486"/>
    </row>
    <row r="301" spans="1:16">
      <c r="A301" s="322">
        <v>33</v>
      </c>
      <c r="C301" s="309" t="s">
        <v>686</v>
      </c>
      <c r="D301" s="316"/>
      <c r="F301" s="312"/>
      <c r="G301" s="312"/>
      <c r="H301" s="312"/>
      <c r="I301" s="312"/>
      <c r="J301" s="487">
        <f>+J299-J300</f>
        <v>0</v>
      </c>
      <c r="K301" s="482"/>
      <c r="N301" s="356"/>
      <c r="O301" s="356"/>
    </row>
    <row r="302" spans="1:16">
      <c r="A302" s="322"/>
      <c r="C302" s="309" t="s">
        <v>145</v>
      </c>
      <c r="D302" s="316"/>
      <c r="F302" s="312"/>
      <c r="G302" s="312"/>
      <c r="H302" s="372"/>
      <c r="I302" s="312"/>
      <c r="J302" s="488" t="s">
        <v>145</v>
      </c>
      <c r="K302" s="480"/>
      <c r="L302" s="489"/>
      <c r="N302" s="356"/>
      <c r="O302" s="356"/>
    </row>
    <row r="303" spans="1:16">
      <c r="A303" s="322">
        <v>34</v>
      </c>
      <c r="C303" s="310" t="s">
        <v>687</v>
      </c>
      <c r="D303" s="316"/>
      <c r="F303" s="312"/>
      <c r="G303" s="312"/>
      <c r="H303" s="490"/>
      <c r="I303" s="312"/>
      <c r="J303" s="491">
        <v>1704062</v>
      </c>
      <c r="K303" s="480"/>
      <c r="L303" s="492"/>
      <c r="M303" s="356"/>
      <c r="N303" s="493"/>
      <c r="O303" s="356"/>
      <c r="P303" s="356"/>
    </row>
    <row r="304" spans="1:16">
      <c r="A304" s="322"/>
      <c r="D304" s="312"/>
      <c r="E304" s="312"/>
      <c r="F304" s="312"/>
      <c r="G304" s="312"/>
      <c r="H304" s="312"/>
      <c r="I304" s="312"/>
      <c r="J304" s="488"/>
      <c r="K304" s="480"/>
      <c r="L304" s="387"/>
      <c r="M304" s="356"/>
      <c r="N304" s="388"/>
      <c r="O304" s="388"/>
      <c r="P304" s="356"/>
    </row>
    <row r="305" spans="1:16">
      <c r="C305" s="310" t="s">
        <v>688</v>
      </c>
      <c r="D305" s="312"/>
      <c r="E305" s="312" t="s">
        <v>689</v>
      </c>
      <c r="F305" s="312"/>
      <c r="G305" s="312"/>
      <c r="H305" s="312"/>
      <c r="I305" s="312"/>
      <c r="L305" s="387"/>
      <c r="M305" s="356"/>
      <c r="N305" s="388"/>
      <c r="O305" s="388"/>
      <c r="P305" s="356"/>
    </row>
    <row r="306" spans="1:16">
      <c r="A306" s="322">
        <v>35</v>
      </c>
      <c r="C306" s="310" t="s">
        <v>690</v>
      </c>
      <c r="D306" s="321"/>
      <c r="E306" s="321"/>
      <c r="F306" s="321"/>
      <c r="G306" s="321"/>
      <c r="H306" s="321"/>
      <c r="I306" s="321"/>
      <c r="J306" s="494">
        <v>2357523</v>
      </c>
      <c r="K306" s="495"/>
      <c r="L306" s="392"/>
      <c r="M306" s="356"/>
      <c r="N306" s="392"/>
      <c r="O306" s="392"/>
      <c r="P306" s="356"/>
    </row>
    <row r="307" spans="1:16">
      <c r="A307" s="322">
        <v>36</v>
      </c>
      <c r="C307" s="496" t="s">
        <v>691</v>
      </c>
      <c r="D307" s="497"/>
      <c r="E307" s="497"/>
      <c r="F307" s="497"/>
      <c r="G307" s="497"/>
      <c r="H307" s="312"/>
      <c r="I307" s="312"/>
      <c r="J307" s="494">
        <v>0</v>
      </c>
      <c r="L307" s="392"/>
      <c r="M307" s="356"/>
      <c r="N307" s="392"/>
      <c r="O307" s="392"/>
      <c r="P307" s="356"/>
    </row>
    <row r="308" spans="1:16">
      <c r="A308" s="322" t="s">
        <v>692</v>
      </c>
      <c r="C308" s="496" t="s">
        <v>693</v>
      </c>
      <c r="D308" s="497"/>
      <c r="E308" s="497"/>
      <c r="F308" s="497"/>
      <c r="G308" s="497"/>
      <c r="H308" s="312"/>
      <c r="I308" s="312"/>
      <c r="J308" s="494">
        <v>0</v>
      </c>
      <c r="L308" s="392"/>
      <c r="M308" s="356"/>
      <c r="N308" s="392"/>
      <c r="O308" s="392"/>
      <c r="P308" s="356"/>
    </row>
    <row r="309" spans="1:16" ht="16.5" thickBot="1">
      <c r="A309" s="322" t="s">
        <v>694</v>
      </c>
      <c r="C309" s="498" t="s">
        <v>695</v>
      </c>
      <c r="D309" s="484"/>
      <c r="E309" s="484"/>
      <c r="F309" s="484"/>
      <c r="G309" s="484"/>
      <c r="H309" s="312"/>
      <c r="I309" s="312"/>
      <c r="J309" s="499">
        <v>0</v>
      </c>
      <c r="L309" s="392"/>
      <c r="M309" s="356"/>
      <c r="N309" s="392"/>
      <c r="O309" s="392"/>
      <c r="P309" s="356"/>
    </row>
    <row r="310" spans="1:16">
      <c r="A310" s="322">
        <v>37</v>
      </c>
      <c r="C310" s="500" t="s">
        <v>696</v>
      </c>
      <c r="D310" s="322"/>
      <c r="E310" s="321"/>
      <c r="F310" s="321"/>
      <c r="G310" s="321"/>
      <c r="H310" s="321"/>
      <c r="I310" s="312"/>
      <c r="J310" s="501">
        <f>+J306-J307-J308-J309</f>
        <v>2357523</v>
      </c>
      <c r="K310" s="495"/>
      <c r="L310" s="392"/>
      <c r="M310" s="356"/>
      <c r="N310" s="392"/>
      <c r="O310" s="392"/>
      <c r="P310" s="356"/>
    </row>
    <row r="311" spans="1:16">
      <c r="A311" s="322"/>
      <c r="C311" s="502"/>
      <c r="D311" s="322"/>
      <c r="E311" s="321"/>
      <c r="F311" s="321"/>
      <c r="G311" s="321"/>
      <c r="H311" s="321"/>
      <c r="I311" s="312"/>
      <c r="J311" s="501"/>
      <c r="K311" s="495"/>
      <c r="L311" s="503"/>
      <c r="M311" s="356"/>
      <c r="N311" s="356"/>
      <c r="O311" s="356"/>
      <c r="P311" s="356"/>
    </row>
    <row r="312" spans="1:16">
      <c r="C312" s="310"/>
      <c r="D312" s="310"/>
      <c r="E312" s="311"/>
      <c r="F312" s="310"/>
      <c r="G312" s="310"/>
      <c r="H312" s="310"/>
      <c r="I312" s="312"/>
      <c r="J312" s="322"/>
      <c r="K312" s="322"/>
      <c r="L312" s="314"/>
    </row>
    <row r="313" spans="1:16">
      <c r="C313" s="310"/>
      <c r="D313" s="310"/>
      <c r="E313" s="311"/>
      <c r="F313" s="310"/>
      <c r="G313" s="310"/>
      <c r="H313" s="310"/>
      <c r="I313" s="312"/>
      <c r="J313" s="313"/>
      <c r="K313" s="313"/>
      <c r="L313" s="314"/>
    </row>
    <row r="314" spans="1:16">
      <c r="C314" s="310"/>
      <c r="D314" s="310"/>
      <c r="E314" s="311"/>
      <c r="F314" s="310"/>
      <c r="G314" s="310"/>
      <c r="H314" s="310"/>
      <c r="I314" s="312"/>
      <c r="J314" s="312"/>
      <c r="L314" s="315" t="s">
        <v>1</v>
      </c>
    </row>
    <row r="315" spans="1:16">
      <c r="C315" s="310"/>
      <c r="D315" s="310"/>
      <c r="E315" s="311"/>
      <c r="F315" s="310"/>
      <c r="G315" s="310"/>
      <c r="H315" s="310"/>
      <c r="I315" s="312"/>
      <c r="J315" s="312"/>
      <c r="K315" s="316"/>
      <c r="L315" s="317" t="s">
        <v>697</v>
      </c>
    </row>
    <row r="316" spans="1:16">
      <c r="C316" s="310"/>
      <c r="D316" s="310"/>
      <c r="E316" s="311"/>
      <c r="F316" s="310"/>
      <c r="G316" s="310"/>
      <c r="H316" s="310"/>
      <c r="I316" s="312"/>
      <c r="J316" s="312"/>
      <c r="K316" s="316"/>
      <c r="L316" s="317"/>
    </row>
    <row r="317" spans="1:16">
      <c r="C317" s="310" t="s">
        <v>435</v>
      </c>
      <c r="D317" s="310"/>
      <c r="E317" s="311" t="s">
        <v>436</v>
      </c>
      <c r="F317" s="310"/>
      <c r="G317" s="310"/>
      <c r="H317" s="310"/>
      <c r="I317" s="312"/>
      <c r="J317" s="319" t="str">
        <f>J5</f>
        <v>For the 12 months ended 12/31/14</v>
      </c>
      <c r="K317" s="320"/>
      <c r="L317" s="320"/>
    </row>
    <row r="318" spans="1:16">
      <c r="C318" s="310"/>
      <c r="D318" s="321" t="s">
        <v>145</v>
      </c>
      <c r="E318" s="321" t="s">
        <v>438</v>
      </c>
      <c r="F318" s="321"/>
      <c r="G318" s="321"/>
      <c r="H318" s="321"/>
      <c r="I318" s="312"/>
      <c r="J318" s="312"/>
      <c r="K318" s="316"/>
      <c r="L318" s="318"/>
    </row>
    <row r="319" spans="1:16">
      <c r="A319" s="322"/>
      <c r="B319" s="312"/>
      <c r="C319" s="502"/>
      <c r="D319" s="322"/>
      <c r="E319" s="321"/>
      <c r="F319" s="321"/>
      <c r="G319" s="321"/>
      <c r="H319" s="321"/>
      <c r="I319" s="312"/>
      <c r="J319" s="504"/>
      <c r="K319" s="480"/>
      <c r="L319" s="505"/>
    </row>
    <row r="320" spans="1:16">
      <c r="A320" s="322"/>
      <c r="B320" s="312"/>
      <c r="C320" s="502"/>
      <c r="D320" s="322"/>
      <c r="E320" s="323" t="str">
        <f>E8</f>
        <v>Montana-Dakota Utilities Co.</v>
      </c>
      <c r="F320" s="324"/>
      <c r="G320" s="324"/>
      <c r="H320" s="321"/>
      <c r="I320" s="312"/>
      <c r="J320" s="504"/>
      <c r="K320" s="480"/>
      <c r="L320" s="505"/>
    </row>
    <row r="321" spans="1:12">
      <c r="A321" s="322"/>
      <c r="B321" s="312"/>
      <c r="C321" s="502"/>
      <c r="D321" s="322"/>
      <c r="E321" s="321"/>
      <c r="F321" s="321"/>
      <c r="G321" s="321"/>
      <c r="H321" s="321"/>
      <c r="I321" s="312"/>
      <c r="J321" s="504"/>
      <c r="K321" s="480"/>
      <c r="L321" s="505"/>
    </row>
    <row r="322" spans="1:12">
      <c r="A322" s="322"/>
      <c r="B322" s="312"/>
      <c r="C322" s="310" t="s">
        <v>698</v>
      </c>
      <c r="D322" s="322"/>
      <c r="E322" s="321"/>
      <c r="F322" s="321"/>
      <c r="G322" s="321"/>
      <c r="H322" s="321"/>
      <c r="I322" s="312"/>
      <c r="J322" s="321"/>
      <c r="K322" s="312"/>
      <c r="L322" s="330"/>
    </row>
    <row r="323" spans="1:12">
      <c r="A323" s="322"/>
      <c r="B323" s="312"/>
      <c r="C323" s="310" t="s">
        <v>699</v>
      </c>
      <c r="D323" s="322"/>
      <c r="E323" s="321"/>
      <c r="F323" s="321"/>
      <c r="G323" s="321"/>
      <c r="H323" s="321"/>
      <c r="I323" s="312"/>
      <c r="J323" s="321"/>
      <c r="K323" s="312"/>
      <c r="L323" s="330"/>
    </row>
    <row r="324" spans="1:12">
      <c r="A324" s="322" t="s">
        <v>700</v>
      </c>
      <c r="B324" s="312"/>
      <c r="C324" s="310"/>
      <c r="D324" s="312"/>
      <c r="E324" s="321"/>
      <c r="F324" s="321"/>
      <c r="G324" s="321"/>
      <c r="H324" s="321"/>
      <c r="I324" s="312"/>
      <c r="J324" s="321"/>
      <c r="K324" s="312"/>
      <c r="L324" s="330"/>
    </row>
    <row r="325" spans="1:12" ht="16.5" thickBot="1">
      <c r="A325" s="326" t="s">
        <v>701</v>
      </c>
      <c r="B325" s="312"/>
      <c r="C325" s="310"/>
      <c r="D325" s="312"/>
      <c r="E325" s="321"/>
      <c r="F325" s="321"/>
      <c r="G325" s="321"/>
      <c r="H325" s="321"/>
      <c r="I325" s="312"/>
      <c r="J325" s="321"/>
      <c r="K325" s="312"/>
      <c r="L325" s="330"/>
    </row>
    <row r="326" spans="1:12">
      <c r="A326" s="322" t="s">
        <v>702</v>
      </c>
      <c r="B326" s="312"/>
      <c r="C326" s="433" t="s">
        <v>703</v>
      </c>
      <c r="D326" s="358"/>
      <c r="E326" s="330"/>
      <c r="F326" s="330"/>
      <c r="G326" s="330"/>
      <c r="H326" s="330"/>
      <c r="I326" s="358"/>
      <c r="J326" s="330"/>
      <c r="K326" s="358"/>
      <c r="L326" s="330"/>
    </row>
    <row r="327" spans="1:12">
      <c r="A327" s="322" t="s">
        <v>704</v>
      </c>
      <c r="B327" s="312"/>
      <c r="C327" s="433" t="s">
        <v>705</v>
      </c>
      <c r="D327" s="358"/>
      <c r="E327" s="330"/>
      <c r="F327" s="330"/>
      <c r="G327" s="330"/>
      <c r="H327" s="330"/>
      <c r="I327" s="358"/>
      <c r="J327" s="330"/>
      <c r="K327" s="358"/>
      <c r="L327" s="330"/>
    </row>
    <row r="328" spans="1:12">
      <c r="A328" s="322" t="s">
        <v>706</v>
      </c>
      <c r="B328" s="312"/>
      <c r="C328" s="433" t="s">
        <v>707</v>
      </c>
      <c r="D328" s="358"/>
      <c r="E328" s="358"/>
      <c r="F328" s="358"/>
      <c r="G328" s="358"/>
      <c r="H328" s="358"/>
      <c r="I328" s="358"/>
      <c r="J328" s="330"/>
      <c r="K328" s="358"/>
      <c r="L328" s="358"/>
    </row>
    <row r="329" spans="1:12">
      <c r="A329" s="322" t="s">
        <v>708</v>
      </c>
      <c r="B329" s="312"/>
      <c r="C329" s="433" t="s">
        <v>707</v>
      </c>
      <c r="D329" s="358"/>
      <c r="E329" s="358"/>
      <c r="F329" s="358"/>
      <c r="G329" s="358"/>
      <c r="H329" s="358"/>
      <c r="I329" s="358"/>
      <c r="J329" s="330"/>
      <c r="K329" s="358"/>
      <c r="L329" s="358"/>
    </row>
    <row r="330" spans="1:12">
      <c r="A330" s="322" t="s">
        <v>709</v>
      </c>
      <c r="B330" s="312"/>
      <c r="C330" s="358" t="s">
        <v>710</v>
      </c>
      <c r="D330" s="358"/>
      <c r="E330" s="358"/>
      <c r="F330" s="358"/>
      <c r="G330" s="358"/>
      <c r="H330" s="358"/>
      <c r="I330" s="358"/>
      <c r="J330" s="358"/>
      <c r="K330" s="358"/>
      <c r="L330" s="358"/>
    </row>
    <row r="331" spans="1:12">
      <c r="A331" s="322" t="s">
        <v>711</v>
      </c>
      <c r="B331" s="312"/>
      <c r="C331" s="358" t="s">
        <v>712</v>
      </c>
      <c r="D331" s="358"/>
      <c r="E331" s="358"/>
      <c r="F331" s="358"/>
      <c r="G331" s="358"/>
      <c r="H331" s="358"/>
      <c r="I331" s="358"/>
      <c r="J331" s="358"/>
      <c r="K331" s="358"/>
      <c r="L331" s="358"/>
    </row>
    <row r="332" spans="1:12">
      <c r="A332" s="322"/>
      <c r="B332" s="312"/>
      <c r="C332" s="358" t="s">
        <v>713</v>
      </c>
      <c r="D332" s="358"/>
      <c r="E332" s="358"/>
      <c r="F332" s="358"/>
      <c r="G332" s="358"/>
      <c r="H332" s="358"/>
      <c r="I332" s="358"/>
      <c r="J332" s="358"/>
      <c r="K332" s="358"/>
      <c r="L332" s="358"/>
    </row>
    <row r="333" spans="1:12">
      <c r="A333" s="322"/>
      <c r="B333" s="312"/>
      <c r="C333" s="358" t="s">
        <v>714</v>
      </c>
      <c r="D333" s="358"/>
      <c r="E333" s="358"/>
      <c r="F333" s="358"/>
      <c r="G333" s="358"/>
      <c r="H333" s="358"/>
      <c r="I333" s="358"/>
      <c r="J333" s="358"/>
      <c r="K333" s="358"/>
      <c r="L333" s="358"/>
    </row>
    <row r="334" spans="1:12">
      <c r="A334" s="322" t="s">
        <v>715</v>
      </c>
      <c r="B334" s="312"/>
      <c r="C334" s="358" t="s">
        <v>716</v>
      </c>
      <c r="D334" s="358"/>
      <c r="E334" s="358"/>
      <c r="F334" s="358"/>
      <c r="G334" s="358"/>
      <c r="H334" s="358"/>
      <c r="I334" s="358"/>
      <c r="J334" s="358"/>
      <c r="K334" s="358"/>
      <c r="L334" s="358"/>
    </row>
    <row r="335" spans="1:12">
      <c r="A335" s="322" t="s">
        <v>717</v>
      </c>
      <c r="B335" s="312"/>
      <c r="C335" s="358" t="s">
        <v>718</v>
      </c>
      <c r="D335" s="358"/>
      <c r="E335" s="358"/>
      <c r="F335" s="358"/>
      <c r="G335" s="358"/>
      <c r="H335" s="358"/>
      <c r="I335" s="358"/>
      <c r="J335" s="358"/>
      <c r="K335" s="358"/>
      <c r="L335" s="358"/>
    </row>
    <row r="336" spans="1:12">
      <c r="A336" s="322"/>
      <c r="B336" s="312"/>
      <c r="C336" s="358" t="s">
        <v>719</v>
      </c>
      <c r="D336" s="358"/>
      <c r="E336" s="358"/>
      <c r="F336" s="358"/>
      <c r="G336" s="358"/>
      <c r="H336" s="358"/>
      <c r="I336" s="358"/>
      <c r="J336" s="358"/>
      <c r="K336" s="358"/>
      <c r="L336" s="358"/>
    </row>
    <row r="337" spans="1:14">
      <c r="A337" s="322" t="s">
        <v>720</v>
      </c>
      <c r="B337" s="312"/>
      <c r="C337" s="358" t="s">
        <v>721</v>
      </c>
      <c r="D337" s="358"/>
      <c r="E337" s="358"/>
      <c r="F337" s="358"/>
      <c r="G337" s="358"/>
      <c r="H337" s="358"/>
      <c r="I337" s="358"/>
      <c r="J337" s="358"/>
      <c r="K337" s="358"/>
      <c r="L337" s="358"/>
    </row>
    <row r="338" spans="1:14">
      <c r="A338" s="322"/>
      <c r="B338" s="312"/>
      <c r="C338" s="374" t="s">
        <v>722</v>
      </c>
      <c r="D338" s="358"/>
      <c r="E338" s="358"/>
      <c r="F338" s="358"/>
      <c r="G338" s="358"/>
      <c r="H338" s="358"/>
      <c r="I338" s="358"/>
      <c r="J338" s="358"/>
      <c r="K338" s="358"/>
      <c r="L338" s="358"/>
    </row>
    <row r="339" spans="1:14">
      <c r="A339" s="322"/>
      <c r="B339" s="312"/>
      <c r="C339" s="358" t="s">
        <v>723</v>
      </c>
      <c r="D339" s="358"/>
      <c r="E339" s="358"/>
      <c r="F339" s="358"/>
      <c r="G339" s="358"/>
      <c r="H339" s="358"/>
      <c r="I339" s="358"/>
      <c r="J339" s="358"/>
      <c r="K339" s="358"/>
      <c r="L339" s="358"/>
    </row>
    <row r="340" spans="1:14">
      <c r="A340" s="322" t="s">
        <v>724</v>
      </c>
      <c r="B340" s="312"/>
      <c r="C340" s="358" t="s">
        <v>725</v>
      </c>
      <c r="D340" s="358"/>
      <c r="E340" s="358"/>
      <c r="F340" s="358"/>
      <c r="G340" s="358"/>
      <c r="H340" s="358"/>
      <c r="I340" s="358"/>
      <c r="J340" s="358"/>
      <c r="K340" s="358"/>
      <c r="L340" s="358"/>
    </row>
    <row r="341" spans="1:14">
      <c r="A341" s="322"/>
      <c r="B341" s="312"/>
      <c r="C341" s="358" t="s">
        <v>726</v>
      </c>
      <c r="D341" s="358"/>
      <c r="E341" s="358"/>
      <c r="F341" s="358"/>
      <c r="G341" s="358"/>
      <c r="H341" s="358"/>
      <c r="I341" s="358"/>
      <c r="J341" s="358"/>
      <c r="K341" s="358"/>
      <c r="L341" s="358"/>
    </row>
    <row r="342" spans="1:14">
      <c r="A342" s="322"/>
      <c r="B342" s="312"/>
      <c r="C342" s="358" t="s">
        <v>727</v>
      </c>
      <c r="D342" s="358"/>
      <c r="E342" s="358"/>
      <c r="F342" s="358"/>
      <c r="G342" s="358"/>
      <c r="H342" s="358"/>
      <c r="I342" s="358"/>
      <c r="J342" s="358"/>
      <c r="K342" s="358"/>
      <c r="L342" s="358"/>
    </row>
    <row r="343" spans="1:14">
      <c r="A343" s="322" t="s">
        <v>728</v>
      </c>
      <c r="B343" s="312"/>
      <c r="C343" s="358" t="s">
        <v>342</v>
      </c>
      <c r="D343" s="358"/>
      <c r="E343" s="358"/>
      <c r="F343" s="358"/>
      <c r="G343" s="358"/>
      <c r="H343" s="358"/>
      <c r="I343" s="358"/>
      <c r="J343" s="358"/>
      <c r="K343" s="358"/>
      <c r="L343" s="358"/>
    </row>
    <row r="344" spans="1:14">
      <c r="A344" s="322"/>
      <c r="B344" s="312"/>
      <c r="C344" s="358" t="s">
        <v>343</v>
      </c>
      <c r="D344" s="358"/>
      <c r="E344" s="358"/>
      <c r="F344" s="358"/>
      <c r="G344" s="358"/>
      <c r="H344" s="358"/>
      <c r="I344" s="358"/>
      <c r="J344" s="358"/>
      <c r="K344" s="358"/>
      <c r="L344" s="358"/>
    </row>
    <row r="345" spans="1:14">
      <c r="A345" s="322"/>
      <c r="B345" s="312"/>
      <c r="C345" s="358" t="s">
        <v>344</v>
      </c>
      <c r="D345" s="358"/>
      <c r="E345" s="358"/>
      <c r="F345" s="358"/>
      <c r="G345" s="358"/>
      <c r="H345" s="358"/>
      <c r="I345" s="358"/>
      <c r="J345" s="358"/>
      <c r="K345" s="358"/>
      <c r="L345" s="358"/>
    </row>
    <row r="346" spans="1:14">
      <c r="A346" s="322"/>
      <c r="B346" s="312"/>
      <c r="C346" s="358" t="s">
        <v>345</v>
      </c>
      <c r="D346" s="358"/>
      <c r="E346" s="358"/>
      <c r="F346" s="358"/>
      <c r="G346" s="358"/>
      <c r="H346" s="358"/>
      <c r="I346" s="358"/>
      <c r="J346" s="358"/>
      <c r="K346" s="358"/>
      <c r="L346" s="358"/>
    </row>
    <row r="347" spans="1:14">
      <c r="A347" s="322"/>
      <c r="B347" s="312"/>
      <c r="C347" s="358" t="s">
        <v>346</v>
      </c>
      <c r="D347" s="358"/>
      <c r="E347" s="358"/>
      <c r="F347" s="358"/>
      <c r="G347" s="358"/>
      <c r="H347" s="358"/>
      <c r="I347" s="358"/>
      <c r="J347" s="358"/>
      <c r="K347" s="358"/>
      <c r="L347" s="358"/>
    </row>
    <row r="348" spans="1:14">
      <c r="A348" s="322"/>
      <c r="B348" s="312"/>
      <c r="C348" s="358" t="s">
        <v>347</v>
      </c>
      <c r="D348" s="358"/>
      <c r="E348" s="358"/>
      <c r="F348" s="358"/>
      <c r="G348" s="358"/>
      <c r="H348" s="358"/>
      <c r="I348" s="358"/>
      <c r="J348" s="358"/>
      <c r="K348" s="358"/>
      <c r="L348" s="358"/>
    </row>
    <row r="349" spans="1:14">
      <c r="A349" s="322" t="s">
        <v>145</v>
      </c>
      <c r="B349" s="312"/>
      <c r="C349" s="358" t="s">
        <v>729</v>
      </c>
      <c r="D349" s="358" t="s">
        <v>350</v>
      </c>
      <c r="E349" s="506">
        <v>0.35</v>
      </c>
      <c r="F349" s="358"/>
      <c r="G349" s="358"/>
      <c r="H349" s="358"/>
      <c r="I349" s="358"/>
      <c r="J349" s="358"/>
      <c r="K349" s="358"/>
      <c r="L349" s="358"/>
    </row>
    <row r="350" spans="1:14">
      <c r="A350" s="322"/>
      <c r="B350" s="312"/>
      <c r="C350" s="358"/>
      <c r="D350" s="358" t="s">
        <v>351</v>
      </c>
      <c r="E350" s="506">
        <v>4.7899999999999998E-2</v>
      </c>
      <c r="F350" s="358" t="s">
        <v>352</v>
      </c>
      <c r="G350" s="358"/>
      <c r="H350" s="358"/>
      <c r="I350" s="358"/>
      <c r="J350" s="358"/>
      <c r="K350" s="358"/>
      <c r="L350" s="358"/>
      <c r="N350" s="507"/>
    </row>
    <row r="351" spans="1:14">
      <c r="A351" s="322"/>
      <c r="B351" s="312"/>
      <c r="C351" s="358"/>
      <c r="D351" s="358" t="s">
        <v>353</v>
      </c>
      <c r="E351" s="506">
        <v>0</v>
      </c>
      <c r="F351" s="358" t="s">
        <v>354</v>
      </c>
      <c r="G351" s="358"/>
      <c r="H351" s="358"/>
      <c r="I351" s="358"/>
      <c r="J351" s="358"/>
      <c r="K351" s="358"/>
      <c r="L351" s="358"/>
    </row>
    <row r="352" spans="1:14">
      <c r="A352" s="322" t="s">
        <v>730</v>
      </c>
      <c r="B352" s="312"/>
      <c r="C352" s="358" t="s">
        <v>731</v>
      </c>
      <c r="D352" s="358"/>
      <c r="E352" s="358"/>
      <c r="F352" s="358"/>
      <c r="G352" s="358"/>
      <c r="H352" s="358"/>
      <c r="I352" s="358"/>
      <c r="J352" s="508"/>
      <c r="K352" s="508"/>
      <c r="L352" s="358"/>
    </row>
    <row r="353" spans="1:12">
      <c r="A353" s="322" t="s">
        <v>732</v>
      </c>
      <c r="B353" s="312"/>
      <c r="C353" s="358" t="s">
        <v>733</v>
      </c>
      <c r="D353" s="358"/>
      <c r="E353" s="358"/>
      <c r="F353" s="358"/>
      <c r="G353" s="358"/>
      <c r="H353" s="358"/>
      <c r="I353" s="358"/>
      <c r="J353" s="358"/>
      <c r="K353" s="358"/>
      <c r="L353" s="358"/>
    </row>
    <row r="354" spans="1:12">
      <c r="A354" s="322"/>
      <c r="B354" s="312"/>
      <c r="C354" s="358" t="s">
        <v>734</v>
      </c>
      <c r="D354" s="358"/>
      <c r="E354" s="358"/>
      <c r="F354" s="358"/>
      <c r="G354" s="358"/>
      <c r="H354" s="358"/>
      <c r="I354" s="358"/>
      <c r="J354" s="358"/>
      <c r="K354" s="358"/>
      <c r="L354" s="358"/>
    </row>
    <row r="355" spans="1:12">
      <c r="A355" s="322" t="s">
        <v>735</v>
      </c>
      <c r="B355" s="312"/>
      <c r="C355" s="358" t="s">
        <v>736</v>
      </c>
      <c r="D355" s="358"/>
      <c r="E355" s="358"/>
      <c r="F355" s="358"/>
      <c r="G355" s="358"/>
      <c r="H355" s="358"/>
      <c r="I355" s="358"/>
      <c r="J355" s="358"/>
      <c r="K355" s="358"/>
      <c r="L355" s="358"/>
    </row>
    <row r="356" spans="1:12">
      <c r="A356" s="322"/>
      <c r="B356" s="312"/>
      <c r="C356" s="358" t="s">
        <v>737</v>
      </c>
      <c r="D356" s="358"/>
      <c r="E356" s="358"/>
      <c r="F356" s="358"/>
      <c r="G356" s="358"/>
      <c r="H356" s="358"/>
      <c r="I356" s="358"/>
      <c r="J356" s="358"/>
      <c r="K356" s="358"/>
      <c r="L356" s="358"/>
    </row>
    <row r="357" spans="1:12">
      <c r="A357" s="322"/>
      <c r="B357" s="312"/>
      <c r="C357" s="358" t="s">
        <v>738</v>
      </c>
      <c r="D357" s="358"/>
      <c r="E357" s="358"/>
      <c r="F357" s="358"/>
      <c r="G357" s="358"/>
      <c r="H357" s="358"/>
      <c r="I357" s="358"/>
      <c r="J357" s="358"/>
      <c r="K357" s="358"/>
      <c r="L357" s="358"/>
    </row>
    <row r="358" spans="1:12">
      <c r="A358" s="322" t="s">
        <v>739</v>
      </c>
      <c r="B358" s="312"/>
      <c r="C358" s="358" t="s">
        <v>740</v>
      </c>
      <c r="D358" s="358"/>
      <c r="E358" s="358"/>
      <c r="F358" s="358"/>
      <c r="G358" s="358"/>
      <c r="H358" s="358"/>
      <c r="I358" s="358"/>
      <c r="J358" s="358"/>
      <c r="K358" s="358"/>
      <c r="L358" s="358"/>
    </row>
    <row r="359" spans="1:12">
      <c r="A359" s="322" t="s">
        <v>741</v>
      </c>
      <c r="B359" s="312"/>
      <c r="C359" s="358" t="s">
        <v>742</v>
      </c>
      <c r="D359" s="358"/>
      <c r="E359" s="358"/>
      <c r="F359" s="358"/>
      <c r="G359" s="358"/>
      <c r="H359" s="358"/>
      <c r="I359" s="358"/>
      <c r="J359" s="358"/>
      <c r="K359" s="358"/>
      <c r="L359" s="358"/>
    </row>
    <row r="360" spans="1:12">
      <c r="A360" s="322"/>
      <c r="B360" s="312"/>
      <c r="C360" s="358" t="s">
        <v>743</v>
      </c>
      <c r="D360" s="358"/>
      <c r="E360" s="358"/>
      <c r="F360" s="358"/>
      <c r="G360" s="358"/>
      <c r="H360" s="358"/>
      <c r="I360" s="358"/>
      <c r="J360" s="358"/>
      <c r="K360" s="358"/>
      <c r="L360" s="358"/>
    </row>
    <row r="361" spans="1:12">
      <c r="A361" s="322"/>
      <c r="B361" s="312"/>
      <c r="C361" s="358" t="s">
        <v>744</v>
      </c>
      <c r="D361" s="358"/>
      <c r="E361" s="358"/>
      <c r="F361" s="358"/>
      <c r="G361" s="358"/>
      <c r="H361" s="358"/>
      <c r="I361" s="358"/>
      <c r="J361" s="358"/>
      <c r="K361" s="358"/>
      <c r="L361" s="358"/>
    </row>
    <row r="362" spans="1:12">
      <c r="A362" s="322" t="s">
        <v>745</v>
      </c>
      <c r="B362" s="312"/>
      <c r="C362" s="358" t="s">
        <v>746</v>
      </c>
      <c r="D362" s="358"/>
      <c r="E362" s="358"/>
      <c r="F362" s="358"/>
      <c r="G362" s="358"/>
      <c r="H362" s="358"/>
      <c r="I362" s="358"/>
      <c r="J362" s="358"/>
      <c r="K362" s="358"/>
      <c r="L362" s="358"/>
    </row>
    <row r="363" spans="1:12">
      <c r="A363" s="322"/>
      <c r="B363" s="312"/>
      <c r="C363" s="358" t="s">
        <v>747</v>
      </c>
      <c r="D363" s="358"/>
      <c r="E363" s="358"/>
      <c r="F363" s="358"/>
      <c r="G363" s="358"/>
      <c r="H363" s="358"/>
      <c r="I363" s="358"/>
      <c r="J363" s="358"/>
      <c r="K363" s="358"/>
      <c r="L363" s="358"/>
    </row>
    <row r="364" spans="1:12">
      <c r="A364" s="322" t="s">
        <v>748</v>
      </c>
      <c r="B364" s="312"/>
      <c r="C364" s="358" t="s">
        <v>749</v>
      </c>
      <c r="D364" s="358"/>
      <c r="E364" s="358"/>
      <c r="F364" s="358"/>
      <c r="G364" s="358"/>
      <c r="H364" s="358"/>
      <c r="I364" s="358"/>
      <c r="J364" s="358"/>
      <c r="K364" s="358"/>
      <c r="L364" s="358"/>
    </row>
    <row r="365" spans="1:12">
      <c r="A365" s="322" t="s">
        <v>750</v>
      </c>
      <c r="B365" s="312"/>
      <c r="C365" s="358" t="s">
        <v>751</v>
      </c>
      <c r="D365" s="358"/>
      <c r="E365" s="358"/>
      <c r="F365" s="358"/>
      <c r="G365" s="358"/>
      <c r="H365" s="358"/>
      <c r="I365" s="358"/>
      <c r="J365" s="358"/>
      <c r="K365" s="358"/>
      <c r="L365" s="358"/>
    </row>
    <row r="366" spans="1:12">
      <c r="B366" s="312"/>
      <c r="C366" s="358" t="s">
        <v>752</v>
      </c>
      <c r="D366" s="358"/>
      <c r="E366" s="358"/>
      <c r="F366" s="358"/>
      <c r="G366" s="358"/>
      <c r="H366" s="358"/>
      <c r="I366" s="358"/>
      <c r="J366" s="358"/>
      <c r="K366" s="358"/>
      <c r="L366" s="358"/>
    </row>
    <row r="367" spans="1:12">
      <c r="C367" s="318" t="s">
        <v>753</v>
      </c>
      <c r="D367" s="318"/>
      <c r="E367" s="318"/>
      <c r="F367" s="318"/>
      <c r="G367" s="318"/>
      <c r="H367" s="318"/>
      <c r="I367" s="318"/>
      <c r="J367" s="318"/>
      <c r="K367" s="318"/>
      <c r="L367" s="318"/>
    </row>
    <row r="368" spans="1:12">
      <c r="A368" s="366" t="s">
        <v>208</v>
      </c>
      <c r="C368" s="318" t="s">
        <v>754</v>
      </c>
      <c r="D368" s="318"/>
      <c r="E368" s="318"/>
      <c r="F368" s="318"/>
      <c r="G368" s="318"/>
      <c r="H368" s="318"/>
      <c r="I368" s="318"/>
      <c r="J368" s="318"/>
      <c r="K368" s="318"/>
      <c r="L368" s="318"/>
    </row>
    <row r="369" spans="1:12">
      <c r="C369" s="318" t="s">
        <v>755</v>
      </c>
      <c r="D369" s="509"/>
      <c r="E369" s="318"/>
      <c r="F369" s="318"/>
      <c r="G369" s="318"/>
      <c r="H369" s="318"/>
      <c r="I369" s="318"/>
      <c r="J369" s="318"/>
      <c r="K369" s="318"/>
      <c r="L369" s="318"/>
    </row>
    <row r="370" spans="1:12">
      <c r="C370" s="318" t="s">
        <v>756</v>
      </c>
      <c r="D370" s="318"/>
      <c r="E370" s="318"/>
      <c r="F370" s="318"/>
      <c r="G370" s="318"/>
      <c r="H370" s="318"/>
      <c r="I370" s="318"/>
      <c r="J370" s="318"/>
      <c r="K370" s="318"/>
      <c r="L370" s="318"/>
    </row>
    <row r="371" spans="1:12">
      <c r="C371" s="318" t="s">
        <v>757</v>
      </c>
      <c r="D371" s="318"/>
      <c r="E371" s="509"/>
      <c r="F371" s="318"/>
      <c r="G371" s="318"/>
      <c r="H371" s="318"/>
      <c r="I371" s="318"/>
      <c r="J371" s="318"/>
      <c r="K371" s="318"/>
      <c r="L371" s="318"/>
    </row>
    <row r="372" spans="1:12">
      <c r="A372" s="366" t="s">
        <v>758</v>
      </c>
      <c r="C372" s="318" t="s">
        <v>759</v>
      </c>
      <c r="D372" s="316"/>
      <c r="E372" s="316"/>
      <c r="F372" s="316"/>
      <c r="G372" s="316"/>
      <c r="H372" s="316"/>
      <c r="I372" s="316"/>
      <c r="J372" s="318"/>
      <c r="K372" s="318"/>
      <c r="L372" s="318"/>
    </row>
    <row r="373" spans="1:12" s="374" customFormat="1">
      <c r="A373" s="510" t="s">
        <v>760</v>
      </c>
      <c r="C373" s="318" t="s">
        <v>761</v>
      </c>
      <c r="D373" s="318"/>
      <c r="E373" s="318"/>
      <c r="F373" s="318"/>
      <c r="G373" s="318"/>
      <c r="H373" s="318"/>
      <c r="I373" s="318"/>
      <c r="J373" s="318"/>
      <c r="K373" s="318"/>
      <c r="L373" s="318"/>
    </row>
    <row r="374" spans="1:12">
      <c r="A374" s="366" t="s">
        <v>762</v>
      </c>
      <c r="C374" s="318" t="s">
        <v>763</v>
      </c>
      <c r="D374" s="318"/>
      <c r="E374" s="318"/>
      <c r="F374" s="318"/>
      <c r="G374" s="318"/>
      <c r="H374" s="318"/>
      <c r="I374" s="318"/>
      <c r="J374" s="318"/>
      <c r="K374" s="318"/>
      <c r="L374" s="318"/>
    </row>
    <row r="375" spans="1:12">
      <c r="A375" s="366" t="s">
        <v>318</v>
      </c>
      <c r="C375" s="318" t="s">
        <v>764</v>
      </c>
      <c r="D375" s="318"/>
      <c r="E375" s="318"/>
      <c r="F375" s="318"/>
      <c r="G375" s="318"/>
      <c r="H375" s="318"/>
      <c r="I375" s="318"/>
      <c r="J375" s="318"/>
      <c r="K375" s="318"/>
      <c r="L375" s="318"/>
    </row>
    <row r="376" spans="1:12">
      <c r="A376" s="366"/>
      <c r="C376" s="318" t="s">
        <v>765</v>
      </c>
      <c r="D376" s="318"/>
      <c r="E376" s="318"/>
      <c r="F376" s="318"/>
      <c r="G376" s="318"/>
      <c r="H376" s="318"/>
      <c r="I376" s="318"/>
      <c r="J376" s="318"/>
      <c r="K376" s="318"/>
      <c r="L376" s="318"/>
    </row>
    <row r="377" spans="1:12">
      <c r="A377" s="366" t="s">
        <v>319</v>
      </c>
      <c r="C377" s="526" t="s">
        <v>766</v>
      </c>
      <c r="D377" s="526"/>
      <c r="E377" s="526"/>
      <c r="F377" s="526"/>
      <c r="G377" s="526"/>
      <c r="H377" s="526"/>
      <c r="I377" s="526"/>
      <c r="J377" s="526"/>
      <c r="K377" s="526"/>
      <c r="L377" s="526"/>
    </row>
    <row r="378" spans="1:12">
      <c r="A378" s="366" t="s">
        <v>767</v>
      </c>
      <c r="C378" s="526" t="s">
        <v>768</v>
      </c>
      <c r="D378" s="526"/>
      <c r="E378" s="526"/>
      <c r="F378" s="526"/>
      <c r="G378" s="526"/>
      <c r="H378" s="526"/>
      <c r="I378" s="526"/>
      <c r="J378" s="526"/>
      <c r="K378" s="526"/>
      <c r="L378" s="526"/>
    </row>
    <row r="379" spans="1:12">
      <c r="A379" s="366"/>
      <c r="C379" s="318" t="s">
        <v>769</v>
      </c>
      <c r="D379" s="316"/>
      <c r="E379" s="316"/>
      <c r="F379" s="316"/>
      <c r="G379" s="316"/>
      <c r="H379" s="316"/>
      <c r="I379" s="316"/>
      <c r="J379" s="318"/>
      <c r="K379" s="318"/>
      <c r="L379" s="318"/>
    </row>
    <row r="380" spans="1:12">
      <c r="A380" s="366" t="s">
        <v>770</v>
      </c>
      <c r="C380" s="342" t="s">
        <v>771</v>
      </c>
      <c r="D380" s="316"/>
      <c r="E380" s="316"/>
      <c r="F380" s="316"/>
      <c r="G380" s="316"/>
      <c r="H380" s="316"/>
      <c r="I380" s="316"/>
      <c r="J380" s="318"/>
      <c r="K380" s="318"/>
      <c r="L380" s="318"/>
    </row>
    <row r="381" spans="1:12">
      <c r="A381" s="366" t="s">
        <v>772</v>
      </c>
      <c r="C381" s="511" t="s">
        <v>773</v>
      </c>
      <c r="D381" s="316"/>
      <c r="E381" s="316"/>
      <c r="F381" s="316"/>
      <c r="G381" s="316"/>
      <c r="H381" s="316"/>
      <c r="I381" s="316"/>
      <c r="J381" s="318"/>
      <c r="K381" s="318"/>
      <c r="L381" s="318"/>
    </row>
    <row r="382" spans="1:12">
      <c r="A382" s="366" t="s">
        <v>774</v>
      </c>
      <c r="C382" s="342" t="s">
        <v>775</v>
      </c>
      <c r="D382" s="316"/>
      <c r="E382" s="316"/>
      <c r="F382" s="316"/>
      <c r="G382" s="316"/>
      <c r="H382" s="316"/>
      <c r="I382" s="316"/>
      <c r="J382" s="318"/>
      <c r="K382" s="318"/>
      <c r="L382" s="318"/>
    </row>
    <row r="383" spans="1:12">
      <c r="A383" s="512"/>
      <c r="B383" s="341"/>
      <c r="C383" s="342" t="s">
        <v>776</v>
      </c>
      <c r="D383" s="342"/>
      <c r="E383" s="342"/>
      <c r="F383" s="342"/>
      <c r="G383" s="342"/>
      <c r="H383" s="342"/>
      <c r="I383" s="342"/>
      <c r="J383" s="342"/>
      <c r="K383" s="342"/>
      <c r="L383" s="342"/>
    </row>
    <row r="384" spans="1:12">
      <c r="A384" s="512"/>
      <c r="B384" s="341"/>
      <c r="C384" s="342" t="s">
        <v>777</v>
      </c>
      <c r="D384" s="342"/>
      <c r="E384" s="342"/>
      <c r="F384" s="342"/>
      <c r="G384" s="342"/>
      <c r="H384" s="511"/>
      <c r="I384" s="416"/>
      <c r="J384" s="342"/>
      <c r="K384" s="342"/>
      <c r="L384" s="342"/>
    </row>
    <row r="385" spans="1:12">
      <c r="A385" s="513" t="s">
        <v>778</v>
      </c>
      <c r="B385" s="341"/>
      <c r="C385" s="342" t="s">
        <v>779</v>
      </c>
      <c r="D385" s="342"/>
      <c r="E385" s="342"/>
      <c r="F385" s="342"/>
      <c r="G385" s="342"/>
      <c r="H385" s="511"/>
      <c r="I385" s="511"/>
      <c r="J385" s="342"/>
      <c r="K385" s="342"/>
      <c r="L385" s="342"/>
    </row>
    <row r="386" spans="1:12">
      <c r="A386" s="514" t="s">
        <v>780</v>
      </c>
      <c r="B386" s="341"/>
      <c r="C386" s="342" t="s">
        <v>781</v>
      </c>
      <c r="D386" s="342"/>
      <c r="E386" s="342"/>
      <c r="F386" s="342"/>
      <c r="G386" s="342"/>
      <c r="H386" s="511"/>
      <c r="I386" s="511"/>
      <c r="J386" s="342"/>
      <c r="K386" s="342"/>
      <c r="L386" s="342"/>
    </row>
    <row r="387" spans="1:12">
      <c r="A387" s="514" t="s">
        <v>782</v>
      </c>
      <c r="B387" s="416"/>
      <c r="C387" s="342" t="s">
        <v>783</v>
      </c>
      <c r="D387" s="341"/>
      <c r="E387" s="341"/>
      <c r="F387" s="342"/>
      <c r="G387" s="342"/>
      <c r="H387" s="342"/>
      <c r="I387" s="511"/>
      <c r="J387" s="342"/>
      <c r="K387" s="342"/>
      <c r="L387" s="342"/>
    </row>
    <row r="388" spans="1:12">
      <c r="A388" s="514"/>
      <c r="B388" s="416"/>
      <c r="C388" s="515" t="s">
        <v>421</v>
      </c>
      <c r="D388" s="342" t="s">
        <v>784</v>
      </c>
      <c r="E388" s="516">
        <v>0</v>
      </c>
      <c r="F388" s="342"/>
      <c r="G388" s="342"/>
      <c r="H388" s="342"/>
      <c r="I388" s="511"/>
      <c r="J388" s="342"/>
      <c r="K388" s="342"/>
      <c r="L388" s="342"/>
    </row>
    <row r="389" spans="1:12">
      <c r="A389" s="514"/>
      <c r="B389" s="416"/>
      <c r="C389" s="515" t="s">
        <v>422</v>
      </c>
      <c r="D389" s="342" t="s">
        <v>784</v>
      </c>
      <c r="E389" s="517">
        <v>0</v>
      </c>
      <c r="F389" s="341"/>
      <c r="G389" s="342"/>
      <c r="H389" s="342"/>
      <c r="I389" s="511"/>
      <c r="J389" s="342"/>
      <c r="K389" s="342"/>
      <c r="L389" s="342"/>
    </row>
    <row r="390" spans="1:12">
      <c r="A390" s="514"/>
      <c r="B390" s="416"/>
      <c r="C390" s="518" t="s">
        <v>785</v>
      </c>
      <c r="D390" s="342"/>
      <c r="E390" s="516">
        <f>E389-E388</f>
        <v>0</v>
      </c>
      <c r="F390" s="341"/>
      <c r="G390" s="342"/>
      <c r="H390" s="342"/>
      <c r="I390" s="511"/>
      <c r="J390" s="342"/>
      <c r="K390" s="342"/>
      <c r="L390" s="342"/>
    </row>
    <row r="391" spans="1:12">
      <c r="A391" s="514"/>
      <c r="B391" s="416"/>
      <c r="C391" s="515" t="s">
        <v>424</v>
      </c>
      <c r="D391" s="342" t="s">
        <v>786</v>
      </c>
      <c r="E391" s="519">
        <v>0</v>
      </c>
      <c r="F391" s="341"/>
      <c r="G391" s="342"/>
      <c r="H391" s="342"/>
      <c r="I391" s="511"/>
      <c r="J391" s="342"/>
      <c r="K391" s="342"/>
      <c r="L391" s="342"/>
    </row>
    <row r="392" spans="1:12">
      <c r="A392" s="514"/>
      <c r="B392" s="416"/>
      <c r="C392" s="515" t="s">
        <v>787</v>
      </c>
      <c r="D392" s="342"/>
      <c r="E392" s="520">
        <f>+E390*E391</f>
        <v>0</v>
      </c>
      <c r="F392" s="341"/>
      <c r="G392" s="342"/>
      <c r="H392" s="342"/>
      <c r="I392" s="511"/>
      <c r="J392" s="342"/>
      <c r="K392" s="342"/>
      <c r="L392" s="342"/>
    </row>
    <row r="393" spans="1:12">
      <c r="A393" s="514"/>
      <c r="B393" s="416"/>
      <c r="F393" s="341"/>
      <c r="G393" s="342"/>
      <c r="H393" s="342"/>
      <c r="I393" s="511"/>
      <c r="J393" s="342"/>
      <c r="K393" s="342"/>
      <c r="L393" s="342"/>
    </row>
    <row r="394" spans="1:12">
      <c r="A394" s="514"/>
      <c r="B394" s="416"/>
      <c r="F394" s="342"/>
      <c r="G394" s="342"/>
      <c r="H394" s="342"/>
      <c r="I394" s="511"/>
      <c r="J394" s="342"/>
      <c r="K394" s="342"/>
      <c r="L394" s="342"/>
    </row>
    <row r="395" spans="1:12">
      <c r="A395" s="513"/>
      <c r="B395" s="513"/>
      <c r="L395" s="309"/>
    </row>
    <row r="396" spans="1:12">
      <c r="B396" s="513"/>
      <c r="L396" s="309"/>
    </row>
    <row r="397" spans="1:12">
      <c r="B397" s="514"/>
      <c r="D397" s="511"/>
      <c r="E397" s="511"/>
      <c r="F397" s="511"/>
      <c r="G397" s="511"/>
      <c r="H397" s="511"/>
      <c r="I397" s="511"/>
      <c r="J397" s="342"/>
      <c r="K397" s="511"/>
      <c r="L397" s="342"/>
    </row>
    <row r="398" spans="1:12">
      <c r="B398" s="416"/>
      <c r="D398" s="511"/>
      <c r="E398" s="511"/>
      <c r="F398" s="511"/>
      <c r="G398" s="511"/>
      <c r="H398" s="511"/>
      <c r="I398" s="511"/>
      <c r="J398" s="511"/>
      <c r="K398" s="416"/>
      <c r="L398" s="341"/>
    </row>
    <row r="399" spans="1:12">
      <c r="A399" s="310"/>
      <c r="C399" s="329"/>
      <c r="D399" s="321"/>
      <c r="E399" s="392"/>
      <c r="F399" s="321"/>
      <c r="G399" s="321"/>
      <c r="H399" s="394"/>
      <c r="I399" s="321"/>
      <c r="J399" s="392"/>
      <c r="K399" s="321"/>
      <c r="L399" s="407"/>
    </row>
    <row r="400" spans="1:12">
      <c r="C400" s="316"/>
      <c r="D400" s="316"/>
      <c r="E400" s="316"/>
      <c r="F400" s="316"/>
      <c r="G400" s="316"/>
      <c r="H400" s="316"/>
      <c r="I400" s="316"/>
      <c r="J400" s="316"/>
      <c r="K400" s="316"/>
      <c r="L400" s="318"/>
    </row>
    <row r="401" spans="3:12">
      <c r="C401" s="316"/>
      <c r="D401" s="316"/>
      <c r="E401" s="316"/>
      <c r="F401" s="316"/>
      <c r="G401" s="316"/>
      <c r="H401" s="316"/>
      <c r="I401" s="316"/>
      <c r="J401" s="316"/>
      <c r="K401" s="316"/>
      <c r="L401" s="318"/>
    </row>
    <row r="402" spans="3:12">
      <c r="C402" s="316"/>
      <c r="D402" s="316"/>
      <c r="E402" s="316"/>
      <c r="F402" s="316"/>
      <c r="G402" s="316"/>
      <c r="H402" s="316"/>
      <c r="I402" s="316"/>
      <c r="J402" s="316"/>
      <c r="K402" s="316"/>
      <c r="L402" s="318"/>
    </row>
    <row r="403" spans="3:12">
      <c r="C403" s="374"/>
    </row>
  </sheetData>
  <mergeCells count="5">
    <mergeCell ref="C219:D219"/>
    <mergeCell ref="C223:D223"/>
    <mergeCell ref="N254:S254"/>
    <mergeCell ref="C377:L377"/>
    <mergeCell ref="C378:L378"/>
  </mergeCells>
  <pageMargins left="0.49" right="0.17" top="0.5" bottom="0.43" header="0.3" footer="0.3"/>
  <pageSetup scale="53" orientation="portrait" r:id="rId1"/>
  <rowBreaks count="4" manualBreakCount="4">
    <brk id="78" max="16383" man="1"/>
    <brk id="158" max="11" man="1"/>
    <brk id="234" max="11" man="1"/>
    <brk id="31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/>
  </sheetViews>
  <sheetFormatPr defaultRowHeight="12.75"/>
  <cols>
    <col min="1" max="1" width="11.85546875" style="53" customWidth="1"/>
    <col min="2" max="16384" width="9.140625" style="53"/>
  </cols>
  <sheetData>
    <row r="1" spans="1:4">
      <c r="A1" s="4" t="s">
        <v>0</v>
      </c>
      <c r="B1" s="4"/>
      <c r="C1" s="4"/>
      <c r="D1" s="4"/>
    </row>
    <row r="2" spans="1:4">
      <c r="A2" s="4" t="s">
        <v>64</v>
      </c>
      <c r="B2" s="4"/>
      <c r="C2" s="4"/>
      <c r="D2" s="4"/>
    </row>
    <row r="3" spans="1:4">
      <c r="A3" s="4" t="s">
        <v>77</v>
      </c>
      <c r="B3" s="4"/>
      <c r="C3" s="4"/>
      <c r="D3" s="4"/>
    </row>
    <row r="4" spans="1:4">
      <c r="A4" s="4" t="s">
        <v>79</v>
      </c>
      <c r="B4" s="4"/>
      <c r="C4" s="4"/>
      <c r="D4" s="4"/>
    </row>
    <row r="7" spans="1:4">
      <c r="D7" s="54">
        <v>2014</v>
      </c>
    </row>
    <row r="8" spans="1:4">
      <c r="A8" s="53" t="s">
        <v>78</v>
      </c>
      <c r="D8" s="55">
        <v>582083</v>
      </c>
    </row>
    <row r="9" spans="1:4">
      <c r="A9" s="53" t="s">
        <v>11</v>
      </c>
      <c r="D9" s="55">
        <v>538433</v>
      </c>
    </row>
    <row r="10" spans="1:4">
      <c r="A10" s="53" t="s">
        <v>12</v>
      </c>
      <c r="D10" s="55">
        <v>537809</v>
      </c>
    </row>
    <row r="11" spans="1:4">
      <c r="A11" s="53" t="s">
        <v>13</v>
      </c>
      <c r="D11" s="55">
        <v>451778</v>
      </c>
    </row>
    <row r="12" spans="1:4">
      <c r="A12" s="53" t="s">
        <v>14</v>
      </c>
      <c r="D12" s="55">
        <v>470772</v>
      </c>
    </row>
    <row r="13" spans="1:4">
      <c r="A13" s="53" t="s">
        <v>15</v>
      </c>
      <c r="D13" s="55">
        <v>447441</v>
      </c>
    </row>
    <row r="14" spans="1:4">
      <c r="A14" s="53" t="s">
        <v>16</v>
      </c>
      <c r="D14" s="55">
        <v>515179</v>
      </c>
    </row>
    <row r="15" spans="1:4">
      <c r="A15" s="53" t="s">
        <v>17</v>
      </c>
      <c r="D15" s="55">
        <v>532969</v>
      </c>
    </row>
    <row r="16" spans="1:4">
      <c r="A16" s="53" t="s">
        <v>18</v>
      </c>
      <c r="D16" s="55">
        <v>503131</v>
      </c>
    </row>
    <row r="17" spans="1:4">
      <c r="A17" s="53" t="s">
        <v>19</v>
      </c>
      <c r="D17" s="55">
        <v>427730</v>
      </c>
    </row>
    <row r="18" spans="1:4">
      <c r="A18" s="53" t="s">
        <v>20</v>
      </c>
      <c r="D18" s="55">
        <v>534048</v>
      </c>
    </row>
    <row r="19" spans="1:4">
      <c r="A19" s="53" t="s">
        <v>21</v>
      </c>
      <c r="D19" s="55">
        <v>529968</v>
      </c>
    </row>
    <row r="20" spans="1:4">
      <c r="A20" s="53" t="s">
        <v>22</v>
      </c>
      <c r="D20" s="56">
        <f>ROUND(AVERAGE(D8:D19),0)</f>
        <v>505945</v>
      </c>
    </row>
  </sheetData>
  <printOptions horizontalCentered="1"/>
  <pageMargins left="0.17" right="0.17" top="1" bottom="0.75" header="0.3" footer="0.3"/>
  <pageSetup orientation="portrait" r:id="rId1"/>
  <headerFooter>
    <oddFooter>&amp;C&amp;F -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workbookViewId="0"/>
  </sheetViews>
  <sheetFormatPr defaultRowHeight="12.75"/>
  <cols>
    <col min="1" max="2" width="2.7109375" style="2" customWidth="1"/>
    <col min="3" max="3" width="26.7109375" style="2" customWidth="1"/>
    <col min="4" max="4" width="2.7109375" style="2" customWidth="1"/>
    <col min="5" max="5" width="12.28515625" style="2" bestFit="1" customWidth="1"/>
    <col min="6" max="6" width="2.7109375" style="2" customWidth="1"/>
    <col min="7" max="7" width="14.140625" style="2" bestFit="1" customWidth="1"/>
    <col min="8" max="8" width="2.7109375" style="2" customWidth="1"/>
    <col min="9" max="9" width="13.42578125" style="2" bestFit="1" customWidth="1"/>
    <col min="10" max="10" width="2.7109375" style="2" customWidth="1"/>
    <col min="11" max="11" width="13.42578125" style="2" bestFit="1" customWidth="1"/>
    <col min="12" max="16384" width="9.140625" style="2"/>
  </cols>
  <sheetData>
    <row r="1" spans="1:11">
      <c r="A1" s="4" t="s">
        <v>0</v>
      </c>
      <c r="B1" s="4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4" t="s">
        <v>33</v>
      </c>
      <c r="B2" s="4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4" t="s">
        <v>74</v>
      </c>
      <c r="B3" s="4"/>
      <c r="C3" s="23"/>
      <c r="D3" s="23"/>
      <c r="E3" s="23"/>
      <c r="F3" s="23"/>
      <c r="G3" s="23"/>
      <c r="H3" s="23"/>
      <c r="I3" s="23"/>
      <c r="J3" s="23"/>
      <c r="K3" s="23"/>
    </row>
    <row r="4" spans="1:11">
      <c r="A4" s="4" t="s">
        <v>34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>
      <c r="A5" s="4" t="s">
        <v>27</v>
      </c>
      <c r="B5" s="4"/>
      <c r="C5" s="23"/>
      <c r="D5" s="23"/>
      <c r="E5" s="23"/>
      <c r="F5" s="23"/>
      <c r="G5" s="23"/>
      <c r="H5" s="23"/>
      <c r="I5" s="23"/>
      <c r="J5" s="23"/>
      <c r="K5" s="23"/>
    </row>
    <row r="6" spans="1:11">
      <c r="A6" s="4"/>
      <c r="B6" s="4"/>
      <c r="C6" s="23"/>
      <c r="D6" s="23"/>
      <c r="E6" s="23"/>
      <c r="F6" s="23"/>
      <c r="G6" s="23"/>
      <c r="H6" s="23"/>
      <c r="I6" s="23"/>
      <c r="J6" s="23"/>
      <c r="K6" s="23"/>
    </row>
    <row r="7" spans="1:11">
      <c r="A7" s="24"/>
      <c r="B7" s="24"/>
      <c r="G7" s="25"/>
      <c r="H7" s="25"/>
      <c r="I7" s="25"/>
      <c r="J7" s="25"/>
      <c r="K7" s="25"/>
    </row>
    <row r="8" spans="1:11">
      <c r="A8" s="24"/>
      <c r="B8" s="24"/>
      <c r="E8" s="26" t="s">
        <v>35</v>
      </c>
      <c r="G8" s="27" t="s">
        <v>36</v>
      </c>
      <c r="H8" s="28"/>
      <c r="I8" s="29" t="s">
        <v>37</v>
      </c>
      <c r="K8" s="26" t="s">
        <v>37</v>
      </c>
    </row>
    <row r="9" spans="1:11">
      <c r="A9" s="24" t="s">
        <v>38</v>
      </c>
      <c r="B9" s="24"/>
      <c r="E9" s="30" t="s">
        <v>39</v>
      </c>
      <c r="G9" s="31" t="s">
        <v>40</v>
      </c>
      <c r="H9" s="32"/>
      <c r="I9" s="31" t="s">
        <v>41</v>
      </c>
      <c r="J9" s="33"/>
      <c r="K9" s="30" t="s">
        <v>42</v>
      </c>
    </row>
    <row r="10" spans="1:11">
      <c r="A10" s="24"/>
      <c r="B10" s="24" t="s">
        <v>43</v>
      </c>
      <c r="G10" s="25"/>
      <c r="H10" s="34"/>
      <c r="I10" s="25"/>
      <c r="J10" s="25"/>
      <c r="K10" s="25"/>
    </row>
    <row r="11" spans="1:11">
      <c r="A11" s="24"/>
      <c r="B11" s="24"/>
      <c r="C11" s="2" t="s">
        <v>6</v>
      </c>
      <c r="E11" s="2" t="s">
        <v>44</v>
      </c>
      <c r="G11" s="35">
        <v>617564586</v>
      </c>
      <c r="H11" s="35"/>
      <c r="I11" s="36"/>
      <c r="J11" s="36"/>
      <c r="K11" s="35"/>
    </row>
    <row r="12" spans="1:11">
      <c r="A12" s="24"/>
      <c r="B12" s="24"/>
      <c r="C12" s="2" t="s">
        <v>45</v>
      </c>
      <c r="E12" s="2" t="s">
        <v>46</v>
      </c>
      <c r="G12" s="35"/>
      <c r="H12" s="35"/>
      <c r="I12" s="155">
        <v>154901</v>
      </c>
      <c r="J12" s="35" t="s">
        <v>47</v>
      </c>
      <c r="K12" s="35"/>
    </row>
    <row r="13" spans="1:11">
      <c r="A13" s="24"/>
      <c r="B13" s="24"/>
      <c r="C13" s="2" t="s">
        <v>48</v>
      </c>
      <c r="E13" s="2" t="s">
        <v>49</v>
      </c>
      <c r="G13" s="35"/>
      <c r="H13" s="35"/>
      <c r="I13" s="34">
        <v>3142677</v>
      </c>
      <c r="J13" s="35" t="s">
        <v>47</v>
      </c>
      <c r="K13" s="37"/>
    </row>
    <row r="14" spans="1:11">
      <c r="A14" s="24"/>
      <c r="B14" s="24"/>
      <c r="C14" s="2" t="s">
        <v>6</v>
      </c>
      <c r="G14" s="38">
        <f>SUM(G11:G13)</f>
        <v>617564586</v>
      </c>
      <c r="H14" s="39"/>
      <c r="I14" s="156">
        <f>SUM(I11:I13)</f>
        <v>3297578</v>
      </c>
      <c r="J14" s="39"/>
      <c r="K14" s="39">
        <f t="shared" ref="K14:K19" si="0">G14-I14</f>
        <v>614267008</v>
      </c>
    </row>
    <row r="15" spans="1:11">
      <c r="A15" s="24"/>
      <c r="B15" s="24"/>
      <c r="C15" s="2" t="s">
        <v>7</v>
      </c>
      <c r="E15" s="2" t="s">
        <v>50</v>
      </c>
      <c r="G15" s="39">
        <f>229997314-1000000</f>
        <v>228997314</v>
      </c>
      <c r="H15" s="298" t="s">
        <v>395</v>
      </c>
      <c r="I15" s="34">
        <v>797</v>
      </c>
      <c r="J15" s="39" t="s">
        <v>47</v>
      </c>
      <c r="K15" s="34">
        <f>G15-I15</f>
        <v>228996517</v>
      </c>
    </row>
    <row r="16" spans="1:11">
      <c r="A16" s="24"/>
      <c r="B16" s="24"/>
      <c r="C16" s="2" t="s">
        <v>8</v>
      </c>
      <c r="E16" s="2" t="s">
        <v>51</v>
      </c>
      <c r="G16" s="39">
        <v>343691531</v>
      </c>
      <c r="H16" s="39"/>
      <c r="I16" s="34">
        <v>39748</v>
      </c>
      <c r="J16" s="39" t="s">
        <v>47</v>
      </c>
      <c r="K16" s="39">
        <f t="shared" si="0"/>
        <v>343651783</v>
      </c>
    </row>
    <row r="17" spans="1:11">
      <c r="A17" s="24"/>
      <c r="B17" s="24"/>
      <c r="C17" s="2" t="s">
        <v>52</v>
      </c>
      <c r="E17" s="2" t="s">
        <v>53</v>
      </c>
      <c r="G17" s="39">
        <v>3579989</v>
      </c>
      <c r="H17" s="39"/>
      <c r="I17" s="34"/>
      <c r="J17" s="39"/>
      <c r="K17" s="39">
        <f t="shared" si="0"/>
        <v>3579989</v>
      </c>
    </row>
    <row r="18" spans="1:11">
      <c r="A18" s="24"/>
      <c r="B18" s="24"/>
      <c r="E18" s="2" t="s">
        <v>54</v>
      </c>
      <c r="G18" s="39">
        <v>29903194</v>
      </c>
      <c r="H18" s="39"/>
      <c r="I18" s="34"/>
      <c r="J18" s="39"/>
      <c r="K18" s="39">
        <f t="shared" si="0"/>
        <v>29903194</v>
      </c>
    </row>
    <row r="19" spans="1:11">
      <c r="A19" s="24"/>
      <c r="B19" s="24"/>
      <c r="C19" s="2" t="s">
        <v>25</v>
      </c>
      <c r="E19" s="40">
        <v>356.1</v>
      </c>
      <c r="G19" s="39">
        <v>126319319</v>
      </c>
      <c r="H19" s="39"/>
      <c r="I19" s="34"/>
      <c r="J19" s="39"/>
      <c r="K19" s="39">
        <f t="shared" si="0"/>
        <v>126319319</v>
      </c>
    </row>
    <row r="20" spans="1:11">
      <c r="A20" s="24"/>
      <c r="B20" s="24" t="s">
        <v>55</v>
      </c>
      <c r="G20" s="38">
        <f>SUM(G14:G19)</f>
        <v>1350055933</v>
      </c>
      <c r="H20" s="41"/>
      <c r="I20" s="38">
        <f>SUM(I14:I19)</f>
        <v>3338123</v>
      </c>
      <c r="J20" s="39"/>
      <c r="K20" s="38">
        <f>SUM(K14:K19)</f>
        <v>1346717810</v>
      </c>
    </row>
    <row r="21" spans="1:11">
      <c r="A21" s="24"/>
      <c r="B21" s="24"/>
      <c r="G21" s="39"/>
      <c r="H21" s="39"/>
      <c r="I21" s="39"/>
      <c r="J21" s="39"/>
      <c r="K21" s="39"/>
    </row>
    <row r="22" spans="1:11">
      <c r="A22" s="24"/>
      <c r="B22" s="24" t="s">
        <v>56</v>
      </c>
      <c r="G22" s="39"/>
      <c r="H22" s="39"/>
      <c r="I22" s="39"/>
      <c r="J22" s="39"/>
      <c r="K22" s="39"/>
    </row>
    <row r="23" spans="1:11">
      <c r="A23" s="24"/>
      <c r="B23" s="24"/>
      <c r="C23" s="2" t="s">
        <v>6</v>
      </c>
      <c r="E23" s="2" t="s">
        <v>57</v>
      </c>
      <c r="G23" s="39">
        <f>231407135+44546726</f>
        <v>275953861</v>
      </c>
      <c r="H23" s="39"/>
      <c r="I23" s="36"/>
      <c r="J23" s="36"/>
      <c r="K23" s="41"/>
    </row>
    <row r="24" spans="1:11">
      <c r="A24" s="24"/>
      <c r="B24" s="24"/>
      <c r="C24" s="2" t="s">
        <v>45</v>
      </c>
      <c r="G24" s="39"/>
      <c r="H24" s="39"/>
      <c r="I24" s="34">
        <f>'Recon FF1 to Juris Acc Res'!I10</f>
        <v>103134</v>
      </c>
      <c r="J24" s="39" t="s">
        <v>47</v>
      </c>
      <c r="K24" s="41"/>
    </row>
    <row r="25" spans="1:11">
      <c r="A25" s="24"/>
      <c r="B25" s="24"/>
      <c r="C25" s="2" t="s">
        <v>48</v>
      </c>
      <c r="G25" s="39"/>
      <c r="H25" s="39"/>
      <c r="I25" s="34">
        <f>'Recon FF1 to Juris Acc Res'!I11</f>
        <v>720306</v>
      </c>
      <c r="J25" s="39" t="s">
        <v>47</v>
      </c>
      <c r="K25" s="42"/>
    </row>
    <row r="26" spans="1:11">
      <c r="A26" s="24"/>
      <c r="B26" s="24"/>
      <c r="C26" s="2" t="s">
        <v>6</v>
      </c>
      <c r="G26" s="38">
        <f>SUM(G23:G25)</f>
        <v>275953861</v>
      </c>
      <c r="H26" s="39"/>
      <c r="I26" s="38">
        <f>SUM(I23:I25)</f>
        <v>823440</v>
      </c>
      <c r="J26" s="39"/>
      <c r="K26" s="39">
        <f>G26-I26</f>
        <v>275130421</v>
      </c>
    </row>
    <row r="27" spans="1:11">
      <c r="A27" s="24"/>
      <c r="B27" s="24"/>
      <c r="C27" s="2" t="s">
        <v>7</v>
      </c>
      <c r="E27" s="2" t="s">
        <v>58</v>
      </c>
      <c r="G27" s="39">
        <v>92958500</v>
      </c>
      <c r="H27" s="298" t="s">
        <v>247</v>
      </c>
      <c r="I27" s="34">
        <f>'Recon FF1 to Juris Acc Res'!I13</f>
        <v>472</v>
      </c>
      <c r="J27" s="39" t="s">
        <v>47</v>
      </c>
      <c r="K27" s="39">
        <f t="shared" ref="K27:K30" si="1">G27-I27</f>
        <v>92958028</v>
      </c>
    </row>
    <row r="28" spans="1:11">
      <c r="A28" s="24"/>
      <c r="B28" s="24"/>
      <c r="C28" s="2" t="s">
        <v>8</v>
      </c>
      <c r="E28" s="2" t="s">
        <v>59</v>
      </c>
      <c r="G28" s="39">
        <v>132279422</v>
      </c>
      <c r="H28" s="39"/>
      <c r="I28" s="34">
        <f>'Recon FF1 to Juris Acc Res'!I14</f>
        <v>34009</v>
      </c>
      <c r="J28" s="39" t="s">
        <v>47</v>
      </c>
      <c r="K28" s="39">
        <f t="shared" si="1"/>
        <v>132245413</v>
      </c>
    </row>
    <row r="29" spans="1:11">
      <c r="A29" s="24"/>
      <c r="B29" s="24"/>
      <c r="C29" s="2" t="s">
        <v>52</v>
      </c>
      <c r="E29" s="2" t="s">
        <v>60</v>
      </c>
      <c r="G29" s="39">
        <v>12277164</v>
      </c>
      <c r="H29" s="39"/>
      <c r="I29" s="39"/>
      <c r="J29" s="39"/>
      <c r="K29" s="39">
        <f t="shared" si="1"/>
        <v>12277164</v>
      </c>
    </row>
    <row r="30" spans="1:11">
      <c r="A30" s="24"/>
      <c r="B30" s="24"/>
      <c r="E30" s="2" t="s">
        <v>61</v>
      </c>
      <c r="G30" s="39">
        <v>1403482</v>
      </c>
      <c r="H30" s="39"/>
      <c r="I30" s="41"/>
      <c r="J30" s="39"/>
      <c r="K30" s="39">
        <f t="shared" si="1"/>
        <v>1403482</v>
      </c>
    </row>
    <row r="31" spans="1:11">
      <c r="A31" s="24"/>
      <c r="B31" s="24"/>
      <c r="C31" s="2" t="s">
        <v>25</v>
      </c>
      <c r="E31" s="40">
        <v>356.1</v>
      </c>
      <c r="G31" s="39">
        <v>43498031</v>
      </c>
      <c r="H31" s="39"/>
      <c r="I31" s="42"/>
      <c r="J31" s="160"/>
      <c r="K31" s="39">
        <f>G31-I31</f>
        <v>43498031</v>
      </c>
    </row>
    <row r="32" spans="1:11">
      <c r="A32" s="24"/>
      <c r="B32" s="24" t="s">
        <v>62</v>
      </c>
      <c r="G32" s="38">
        <f>SUM(G26:G31)</f>
        <v>558370460</v>
      </c>
      <c r="H32" s="41"/>
      <c r="I32" s="38">
        <f>SUM(I26:I31)</f>
        <v>857921</v>
      </c>
      <c r="J32" s="39"/>
      <c r="K32" s="38">
        <f>SUM(K26:K31)</f>
        <v>557512539</v>
      </c>
    </row>
    <row r="33" spans="1:11">
      <c r="A33" s="24"/>
      <c r="B33" s="24"/>
      <c r="G33" s="39"/>
      <c r="H33" s="39"/>
      <c r="I33" s="39"/>
      <c r="J33" s="39"/>
      <c r="K33" s="39"/>
    </row>
    <row r="34" spans="1:11">
      <c r="B34" s="24"/>
      <c r="G34" s="25"/>
      <c r="H34" s="34"/>
      <c r="I34" s="25"/>
      <c r="J34" s="25"/>
      <c r="K34" s="25"/>
    </row>
    <row r="36" spans="1:11">
      <c r="A36" s="159" t="s">
        <v>212</v>
      </c>
      <c r="B36" s="24"/>
      <c r="G36" s="25"/>
      <c r="H36" s="34"/>
      <c r="I36" s="25"/>
      <c r="J36" s="25"/>
      <c r="K36" s="25"/>
    </row>
    <row r="37" spans="1:11">
      <c r="A37" s="59" t="s">
        <v>80</v>
      </c>
      <c r="B37" s="36"/>
      <c r="C37" s="36"/>
      <c r="D37" s="36"/>
      <c r="E37" s="36"/>
      <c r="F37" s="36"/>
      <c r="G37" s="36"/>
      <c r="H37" s="36"/>
      <c r="I37" s="36"/>
      <c r="K37" s="52"/>
    </row>
    <row r="38" spans="1:11">
      <c r="A38" s="294" t="s">
        <v>405</v>
      </c>
      <c r="B38" s="295"/>
      <c r="C38" s="295"/>
      <c r="D38" s="295"/>
      <c r="E38" s="295"/>
      <c r="F38" s="295"/>
      <c r="G38" s="295"/>
    </row>
    <row r="39" spans="1:11">
      <c r="A39" s="293" t="s">
        <v>404</v>
      </c>
    </row>
    <row r="40" spans="1:11">
      <c r="A40" s="293" t="s">
        <v>412</v>
      </c>
    </row>
  </sheetData>
  <printOptions horizontalCentered="1"/>
  <pageMargins left="0.22" right="0.17" top="1" bottom="0.17" header="0.3" footer="0.18"/>
  <pageSetup orientation="portrait" r:id="rId1"/>
  <headerFooter>
    <oddFooter>&amp;C&amp;F -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workbookViewId="0"/>
  </sheetViews>
  <sheetFormatPr defaultRowHeight="12.75"/>
  <cols>
    <col min="1" max="1" width="14.28515625" style="21" customWidth="1"/>
    <col min="2" max="2" width="1.5703125" style="8" customWidth="1"/>
    <col min="3" max="3" width="12.7109375" style="8" customWidth="1"/>
    <col min="4" max="4" width="1.85546875" style="18" customWidth="1"/>
    <col min="5" max="5" width="14.28515625" style="8" bestFit="1" customWidth="1"/>
    <col min="6" max="6" width="1.42578125" style="18" customWidth="1"/>
    <col min="7" max="7" width="12.7109375" style="8" customWidth="1"/>
    <col min="8" max="8" width="1.42578125" style="18" customWidth="1"/>
    <col min="9" max="9" width="12.7109375" style="8" customWidth="1"/>
    <col min="10" max="10" width="1.5703125" style="18" customWidth="1"/>
    <col min="11" max="11" width="12.7109375" style="8" customWidth="1"/>
    <col min="12" max="12" width="1.7109375" style="18" customWidth="1"/>
    <col min="13" max="13" width="14.42578125" style="8" bestFit="1" customWidth="1"/>
    <col min="14" max="16384" width="9.140625" style="8"/>
  </cols>
  <sheetData>
    <row r="1" spans="1:13">
      <c r="A1" s="5" t="s">
        <v>0</v>
      </c>
      <c r="B1" s="6"/>
      <c r="C1" s="6"/>
      <c r="D1" s="7"/>
      <c r="E1" s="6"/>
      <c r="F1" s="7"/>
      <c r="G1" s="6"/>
      <c r="H1" s="7"/>
      <c r="I1" s="6"/>
      <c r="J1" s="7"/>
      <c r="K1" s="6"/>
      <c r="L1" s="7"/>
      <c r="M1" s="6"/>
    </row>
    <row r="2" spans="1:13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</row>
    <row r="3" spans="1:13">
      <c r="A3" s="5" t="s">
        <v>86</v>
      </c>
      <c r="B3" s="6"/>
      <c r="C3" s="6"/>
      <c r="D3" s="7"/>
      <c r="E3" s="6"/>
      <c r="F3" s="7"/>
      <c r="G3" s="6"/>
      <c r="H3" s="7"/>
      <c r="I3" s="6"/>
      <c r="J3" s="7"/>
      <c r="K3" s="6"/>
      <c r="L3" s="7"/>
      <c r="M3" s="6"/>
    </row>
    <row r="4" spans="1:13">
      <c r="A4" s="5" t="s">
        <v>93</v>
      </c>
      <c r="B4" s="6"/>
      <c r="C4" s="6"/>
      <c r="D4" s="7"/>
      <c r="E4" s="6"/>
      <c r="F4" s="7"/>
      <c r="G4" s="6"/>
      <c r="H4" s="7"/>
      <c r="I4" s="6"/>
      <c r="J4" s="7"/>
      <c r="K4" s="6"/>
      <c r="L4" s="7"/>
      <c r="M4" s="6"/>
    </row>
    <row r="6" spans="1:13">
      <c r="K6" s="58" t="s">
        <v>81</v>
      </c>
    </row>
    <row r="7" spans="1:13">
      <c r="A7" s="64" t="s">
        <v>10</v>
      </c>
      <c r="C7" s="10"/>
      <c r="D7" s="10"/>
      <c r="E7" s="290" t="s">
        <v>398</v>
      </c>
      <c r="F7" s="10"/>
      <c r="G7" s="10"/>
      <c r="H7" s="10"/>
      <c r="I7" s="10" t="s">
        <v>3</v>
      </c>
      <c r="J7" s="10"/>
      <c r="K7" s="10" t="s">
        <v>4</v>
      </c>
      <c r="L7" s="10"/>
      <c r="M7" s="10"/>
    </row>
    <row r="8" spans="1:13">
      <c r="A8" s="61" t="s">
        <v>85</v>
      </c>
      <c r="C8" s="280" t="s">
        <v>383</v>
      </c>
      <c r="D8" s="10"/>
      <c r="E8" s="291" t="s">
        <v>399</v>
      </c>
      <c r="F8" s="10"/>
      <c r="G8" s="12" t="s">
        <v>8</v>
      </c>
      <c r="H8" s="10"/>
      <c r="I8" s="12" t="s">
        <v>9</v>
      </c>
      <c r="J8" s="10"/>
      <c r="K8" s="291" t="s">
        <v>400</v>
      </c>
      <c r="L8" s="10"/>
      <c r="M8" s="12" t="s">
        <v>10</v>
      </c>
    </row>
    <row r="9" spans="1:13" ht="15" customHeight="1">
      <c r="A9" s="13" t="s">
        <v>28</v>
      </c>
      <c r="C9" s="48">
        <v>556009310</v>
      </c>
      <c r="D9" s="49"/>
      <c r="E9" s="48">
        <v>196822845</v>
      </c>
      <c r="F9" s="49"/>
      <c r="G9" s="48">
        <v>308162308</v>
      </c>
      <c r="H9" s="15"/>
      <c r="I9" s="14">
        <v>34731555</v>
      </c>
      <c r="J9" s="15"/>
      <c r="K9" s="14">
        <v>115741577</v>
      </c>
      <c r="L9" s="15"/>
      <c r="M9" s="14">
        <f t="shared" ref="M9:M21" si="0">SUM(C9:L9)</f>
        <v>1211467595</v>
      </c>
    </row>
    <row r="10" spans="1:13">
      <c r="A10" s="13" t="s">
        <v>32</v>
      </c>
      <c r="C10" s="50">
        <v>555815467</v>
      </c>
      <c r="D10" s="51"/>
      <c r="E10" s="50">
        <v>195657052</v>
      </c>
      <c r="F10" s="51"/>
      <c r="G10" s="50">
        <v>308920484</v>
      </c>
      <c r="H10" s="17"/>
      <c r="I10" s="16">
        <v>35581799</v>
      </c>
      <c r="J10" s="17"/>
      <c r="K10" s="16">
        <v>116506486</v>
      </c>
      <c r="L10" s="17"/>
      <c r="M10" s="16">
        <f t="shared" si="0"/>
        <v>1212481288</v>
      </c>
    </row>
    <row r="11" spans="1:13">
      <c r="A11" s="13" t="s">
        <v>11</v>
      </c>
      <c r="C11" s="50">
        <v>555924934</v>
      </c>
      <c r="D11" s="51"/>
      <c r="E11" s="50">
        <v>195611964</v>
      </c>
      <c r="F11" s="51"/>
      <c r="G11" s="50">
        <v>310124019</v>
      </c>
      <c r="H11" s="17"/>
      <c r="I11" s="16">
        <v>35967202</v>
      </c>
      <c r="J11" s="17"/>
      <c r="K11" s="16">
        <v>115972505</v>
      </c>
      <c r="L11" s="17"/>
      <c r="M11" s="16">
        <f t="shared" si="0"/>
        <v>1213600624</v>
      </c>
    </row>
    <row r="12" spans="1:13">
      <c r="A12" s="13" t="s">
        <v>12</v>
      </c>
      <c r="C12" s="50">
        <v>555918823</v>
      </c>
      <c r="D12" s="51"/>
      <c r="E12" s="50">
        <v>195839384</v>
      </c>
      <c r="F12" s="51"/>
      <c r="G12" s="50">
        <v>311286885</v>
      </c>
      <c r="H12" s="17"/>
      <c r="I12" s="16">
        <v>36443540</v>
      </c>
      <c r="J12" s="17"/>
      <c r="K12" s="16">
        <v>116119574</v>
      </c>
      <c r="L12" s="17"/>
      <c r="M12" s="16">
        <f t="shared" si="0"/>
        <v>1215608206</v>
      </c>
    </row>
    <row r="13" spans="1:13">
      <c r="A13" s="13" t="s">
        <v>13</v>
      </c>
      <c r="C13" s="50">
        <v>556028668</v>
      </c>
      <c r="D13" s="51"/>
      <c r="E13" s="50">
        <v>196785390</v>
      </c>
      <c r="F13" s="51"/>
      <c r="G13" s="50">
        <v>314983992</v>
      </c>
      <c r="H13" s="17"/>
      <c r="I13" s="16">
        <v>36678826</v>
      </c>
      <c r="J13" s="17"/>
      <c r="K13" s="16">
        <v>115313898</v>
      </c>
      <c r="L13" s="17"/>
      <c r="M13" s="16">
        <f t="shared" si="0"/>
        <v>1219790774</v>
      </c>
    </row>
    <row r="14" spans="1:13">
      <c r="A14" s="13" t="s">
        <v>14</v>
      </c>
      <c r="C14" s="50">
        <v>555964896</v>
      </c>
      <c r="D14" s="51"/>
      <c r="E14" s="50">
        <v>197316485</v>
      </c>
      <c r="F14" s="51"/>
      <c r="G14" s="50">
        <v>316825145</v>
      </c>
      <c r="H14" s="17"/>
      <c r="I14" s="16">
        <v>30831873</v>
      </c>
      <c r="J14" s="17"/>
      <c r="K14" s="16">
        <v>109209209</v>
      </c>
      <c r="L14" s="17"/>
      <c r="M14" s="16">
        <f t="shared" si="0"/>
        <v>1210147608</v>
      </c>
    </row>
    <row r="15" spans="1:13">
      <c r="A15" s="13" t="s">
        <v>15</v>
      </c>
      <c r="C15" s="50">
        <v>555904911</v>
      </c>
      <c r="D15" s="51"/>
      <c r="E15" s="50">
        <v>198844125</v>
      </c>
      <c r="F15" s="51"/>
      <c r="G15" s="50">
        <v>319004292</v>
      </c>
      <c r="H15" s="17"/>
      <c r="I15" s="16">
        <v>30955960</v>
      </c>
      <c r="J15" s="17"/>
      <c r="K15" s="16">
        <v>109734796</v>
      </c>
      <c r="L15" s="17"/>
      <c r="M15" s="16">
        <f t="shared" si="0"/>
        <v>1214444084</v>
      </c>
    </row>
    <row r="16" spans="1:13">
      <c r="A16" s="13" t="s">
        <v>16</v>
      </c>
      <c r="C16" s="50">
        <v>555956064</v>
      </c>
      <c r="D16" s="51"/>
      <c r="E16" s="50">
        <v>203999065</v>
      </c>
      <c r="F16" s="51"/>
      <c r="G16" s="50">
        <v>321901597</v>
      </c>
      <c r="H16" s="17"/>
      <c r="I16" s="16">
        <v>31005618</v>
      </c>
      <c r="J16" s="17"/>
      <c r="K16" s="16">
        <v>120248084</v>
      </c>
      <c r="L16" s="17"/>
      <c r="M16" s="16">
        <f t="shared" si="0"/>
        <v>1233110428</v>
      </c>
    </row>
    <row r="17" spans="1:13">
      <c r="A17" s="13" t="s">
        <v>17</v>
      </c>
      <c r="C17" s="50">
        <v>608542801</v>
      </c>
      <c r="D17" s="51"/>
      <c r="E17" s="50">
        <v>211672403</v>
      </c>
      <c r="F17" s="51"/>
      <c r="G17" s="50">
        <v>325189159</v>
      </c>
      <c r="H17" s="17"/>
      <c r="I17" s="16">
        <v>32072483</v>
      </c>
      <c r="J17" s="17"/>
      <c r="K17" s="16">
        <v>121224051</v>
      </c>
      <c r="L17" s="17"/>
      <c r="M17" s="16">
        <f t="shared" si="0"/>
        <v>1298700897</v>
      </c>
    </row>
    <row r="18" spans="1:13">
      <c r="A18" s="13" t="s">
        <v>18</v>
      </c>
      <c r="C18" s="51">
        <v>609690748</v>
      </c>
      <c r="D18" s="51"/>
      <c r="E18" s="50">
        <v>215613596</v>
      </c>
      <c r="F18" s="51"/>
      <c r="G18" s="50">
        <v>328172723</v>
      </c>
      <c r="H18" s="17"/>
      <c r="I18" s="16">
        <v>32273617</v>
      </c>
      <c r="J18" s="17"/>
      <c r="K18" s="16">
        <v>121468303</v>
      </c>
      <c r="L18" s="17"/>
      <c r="M18" s="16">
        <f t="shared" si="0"/>
        <v>1307218987</v>
      </c>
    </row>
    <row r="19" spans="1:13">
      <c r="A19" s="13" t="s">
        <v>19</v>
      </c>
      <c r="C19" s="51">
        <v>610375152</v>
      </c>
      <c r="D19" s="51"/>
      <c r="E19" s="50">
        <v>215315547</v>
      </c>
      <c r="F19" s="51"/>
      <c r="G19" s="50">
        <v>335057438</v>
      </c>
      <c r="H19" s="17"/>
      <c r="I19" s="16">
        <v>32372654</v>
      </c>
      <c r="J19" s="17"/>
      <c r="K19" s="16">
        <v>121931478</v>
      </c>
      <c r="L19" s="17"/>
      <c r="M19" s="16">
        <f t="shared" si="0"/>
        <v>1315052269</v>
      </c>
    </row>
    <row r="20" spans="1:13">
      <c r="A20" s="13" t="s">
        <v>20</v>
      </c>
      <c r="C20" s="51">
        <v>612279073</v>
      </c>
      <c r="D20" s="51"/>
      <c r="E20" s="50">
        <v>221658601</v>
      </c>
      <c r="F20" s="51"/>
      <c r="G20" s="50">
        <v>339574078</v>
      </c>
      <c r="H20" s="17"/>
      <c r="I20" s="16">
        <v>32558665</v>
      </c>
      <c r="J20" s="17"/>
      <c r="K20" s="16">
        <v>122531961</v>
      </c>
      <c r="L20" s="17"/>
      <c r="M20" s="16">
        <f t="shared" si="0"/>
        <v>1328602378</v>
      </c>
    </row>
    <row r="21" spans="1:13">
      <c r="A21" s="13" t="s">
        <v>21</v>
      </c>
      <c r="C21" s="51">
        <v>614267008</v>
      </c>
      <c r="D21" s="51"/>
      <c r="E21" s="50">
        <v>228996517</v>
      </c>
      <c r="F21" s="51"/>
      <c r="G21" s="50">
        <v>343651783</v>
      </c>
      <c r="H21" s="17"/>
      <c r="I21" s="16">
        <v>33483183</v>
      </c>
      <c r="J21" s="17"/>
      <c r="K21" s="16">
        <v>126319319</v>
      </c>
      <c r="L21" s="17"/>
      <c r="M21" s="16">
        <f t="shared" si="0"/>
        <v>1346717810</v>
      </c>
    </row>
    <row r="22" spans="1:13" ht="13.5" thickBot="1">
      <c r="A22" s="19" t="s">
        <v>22</v>
      </c>
      <c r="C22" s="20">
        <f>ROUND(AVERAGE(C9:C21),0)</f>
        <v>577129066</v>
      </c>
      <c r="D22" s="17"/>
      <c r="E22" s="20">
        <f>ROUND(AVERAGE(E9:E21),0)</f>
        <v>205702536</v>
      </c>
      <c r="F22" s="17"/>
      <c r="G22" s="20">
        <f>ROUND(AVERAGE(G9:G21),0)</f>
        <v>321757993</v>
      </c>
      <c r="H22" s="17"/>
      <c r="I22" s="20">
        <f>ROUND(AVERAGE(I9:I21),0)</f>
        <v>33458229</v>
      </c>
      <c r="J22" s="17"/>
      <c r="K22" s="20">
        <f>ROUND(AVERAGE(K9:K21),0)</f>
        <v>117870865</v>
      </c>
      <c r="L22" s="17"/>
      <c r="M22" s="20">
        <f>ROUND(AVERAGE(M9:M21),0)</f>
        <v>1255918688</v>
      </c>
    </row>
    <row r="23" spans="1:13" ht="13.5" thickTop="1">
      <c r="A23" s="19"/>
    </row>
    <row r="24" spans="1:13">
      <c r="K24" s="58" t="s">
        <v>81</v>
      </c>
    </row>
    <row r="25" spans="1:13">
      <c r="A25" s="64" t="s">
        <v>69</v>
      </c>
      <c r="C25" s="10"/>
      <c r="D25" s="10"/>
      <c r="E25" s="10"/>
      <c r="F25" s="10"/>
      <c r="G25" s="10"/>
      <c r="H25" s="10"/>
      <c r="I25" s="10" t="s">
        <v>3</v>
      </c>
      <c r="J25" s="10"/>
      <c r="K25" s="10" t="s">
        <v>4</v>
      </c>
      <c r="L25" s="10"/>
      <c r="M25" s="10"/>
    </row>
    <row r="26" spans="1:13">
      <c r="A26" s="11" t="s">
        <v>76</v>
      </c>
      <c r="C26" s="12" t="s">
        <v>6</v>
      </c>
      <c r="D26" s="10"/>
      <c r="E26" s="12" t="s">
        <v>7</v>
      </c>
      <c r="F26" s="10"/>
      <c r="G26" s="12" t="s">
        <v>8</v>
      </c>
      <c r="H26" s="10"/>
      <c r="I26" s="12" t="s">
        <v>9</v>
      </c>
      <c r="J26" s="10"/>
      <c r="K26" s="12" t="s">
        <v>9</v>
      </c>
      <c r="L26" s="10"/>
      <c r="M26" s="12" t="s">
        <v>10</v>
      </c>
    </row>
    <row r="27" spans="1:13" ht="15" customHeight="1">
      <c r="A27" s="13" t="s">
        <v>28</v>
      </c>
      <c r="C27" s="48">
        <v>64182054</v>
      </c>
      <c r="D27" s="49"/>
      <c r="E27" s="48">
        <v>3192143</v>
      </c>
      <c r="F27" s="49"/>
      <c r="G27" s="48">
        <v>45951242</v>
      </c>
      <c r="H27" s="15"/>
      <c r="I27" s="14">
        <v>2630091</v>
      </c>
      <c r="J27" s="15"/>
      <c r="K27" s="14">
        <v>10798046</v>
      </c>
      <c r="L27" s="15"/>
      <c r="M27" s="14">
        <f t="shared" ref="M27:M39" si="1">SUM(C27:L27)</f>
        <v>126753576</v>
      </c>
    </row>
    <row r="28" spans="1:13">
      <c r="A28" s="13" t="s">
        <v>32</v>
      </c>
      <c r="C28" s="50">
        <v>64182054</v>
      </c>
      <c r="D28" s="51"/>
      <c r="E28" s="50">
        <v>3192143</v>
      </c>
      <c r="F28" s="51"/>
      <c r="G28" s="50">
        <v>45820934</v>
      </c>
      <c r="H28" s="17"/>
      <c r="I28" s="16">
        <v>2606012</v>
      </c>
      <c r="J28" s="17"/>
      <c r="K28" s="16">
        <v>10513300</v>
      </c>
      <c r="L28" s="17"/>
      <c r="M28" s="16">
        <f t="shared" si="1"/>
        <v>126314443</v>
      </c>
    </row>
    <row r="29" spans="1:13">
      <c r="A29" s="13" t="s">
        <v>11</v>
      </c>
      <c r="C29" s="50">
        <v>64171428</v>
      </c>
      <c r="D29" s="51"/>
      <c r="E29" s="50">
        <v>3192143</v>
      </c>
      <c r="F29" s="51"/>
      <c r="G29" s="50">
        <v>45893962</v>
      </c>
      <c r="H29" s="17"/>
      <c r="I29" s="16">
        <v>2616836</v>
      </c>
      <c r="J29" s="17"/>
      <c r="K29" s="16">
        <v>10453358</v>
      </c>
      <c r="L29" s="17"/>
      <c r="M29" s="16">
        <f t="shared" si="1"/>
        <v>126327727</v>
      </c>
    </row>
    <row r="30" spans="1:13">
      <c r="A30" s="13" t="s">
        <v>12</v>
      </c>
      <c r="C30" s="50">
        <v>64171206</v>
      </c>
      <c r="D30" s="51"/>
      <c r="E30" s="50">
        <v>3192143</v>
      </c>
      <c r="F30" s="51"/>
      <c r="G30" s="50">
        <v>46032181</v>
      </c>
      <c r="H30" s="17"/>
      <c r="I30" s="16">
        <v>2587741</v>
      </c>
      <c r="J30" s="17"/>
      <c r="K30" s="16">
        <v>10455592</v>
      </c>
      <c r="L30" s="17"/>
      <c r="M30" s="16">
        <f t="shared" si="1"/>
        <v>126438863</v>
      </c>
    </row>
    <row r="31" spans="1:13">
      <c r="A31" s="13" t="s">
        <v>13</v>
      </c>
      <c r="C31" s="50">
        <v>64171206</v>
      </c>
      <c r="D31" s="51"/>
      <c r="E31" s="50">
        <v>3192143</v>
      </c>
      <c r="F31" s="51"/>
      <c r="G31" s="50">
        <v>46221035</v>
      </c>
      <c r="H31" s="17"/>
      <c r="I31" s="16">
        <v>2561980</v>
      </c>
      <c r="J31" s="17"/>
      <c r="K31" s="16">
        <v>10349066</v>
      </c>
      <c r="L31" s="17"/>
      <c r="M31" s="16">
        <f t="shared" si="1"/>
        <v>126495430</v>
      </c>
    </row>
    <row r="32" spans="1:13">
      <c r="A32" s="13" t="s">
        <v>14</v>
      </c>
      <c r="C32" s="50">
        <v>64171206</v>
      </c>
      <c r="D32" s="51"/>
      <c r="E32" s="50">
        <v>3197600</v>
      </c>
      <c r="F32" s="51"/>
      <c r="G32" s="50">
        <v>46363445</v>
      </c>
      <c r="H32" s="17"/>
      <c r="I32" s="16">
        <v>2549949</v>
      </c>
      <c r="J32" s="17"/>
      <c r="K32" s="16">
        <v>9784189</v>
      </c>
      <c r="L32" s="17"/>
      <c r="M32" s="16">
        <f t="shared" si="1"/>
        <v>126066389</v>
      </c>
    </row>
    <row r="33" spans="1:13">
      <c r="A33" s="13" t="s">
        <v>15</v>
      </c>
      <c r="C33" s="50">
        <v>64177695</v>
      </c>
      <c r="D33" s="51"/>
      <c r="E33" s="50">
        <v>3197600</v>
      </c>
      <c r="F33" s="51"/>
      <c r="G33" s="50">
        <v>46486320</v>
      </c>
      <c r="H33" s="17"/>
      <c r="I33" s="16">
        <v>2551313</v>
      </c>
      <c r="J33" s="17"/>
      <c r="K33" s="16">
        <v>9799993</v>
      </c>
      <c r="L33" s="17"/>
      <c r="M33" s="16">
        <f t="shared" si="1"/>
        <v>126212921</v>
      </c>
    </row>
    <row r="34" spans="1:13">
      <c r="A34" s="13" t="s">
        <v>16</v>
      </c>
      <c r="C34" s="50">
        <v>64177663</v>
      </c>
      <c r="D34" s="51"/>
      <c r="E34" s="50">
        <v>3197600</v>
      </c>
      <c r="F34" s="51"/>
      <c r="G34" s="50">
        <v>46568344</v>
      </c>
      <c r="H34" s="17"/>
      <c r="I34" s="16">
        <v>2548458</v>
      </c>
      <c r="J34" s="17"/>
      <c r="K34" s="16">
        <v>9821228</v>
      </c>
      <c r="L34" s="17"/>
      <c r="M34" s="16">
        <f t="shared" si="1"/>
        <v>126313293</v>
      </c>
    </row>
    <row r="35" spans="1:13">
      <c r="A35" s="13" t="s">
        <v>17</v>
      </c>
      <c r="C35" s="50">
        <v>64177663</v>
      </c>
      <c r="D35" s="51"/>
      <c r="E35" s="50">
        <v>3197600</v>
      </c>
      <c r="F35" s="51"/>
      <c r="G35" s="50">
        <v>46685633</v>
      </c>
      <c r="H35" s="17"/>
      <c r="I35" s="16">
        <v>2558307</v>
      </c>
      <c r="J35" s="17"/>
      <c r="K35" s="16">
        <v>9915230</v>
      </c>
      <c r="L35" s="17"/>
      <c r="M35" s="16">
        <f t="shared" si="1"/>
        <v>126534433</v>
      </c>
    </row>
    <row r="36" spans="1:13">
      <c r="A36" s="13" t="s">
        <v>18</v>
      </c>
      <c r="C36" s="50">
        <v>64181695</v>
      </c>
      <c r="D36" s="51"/>
      <c r="E36" s="50">
        <v>3197600</v>
      </c>
      <c r="F36" s="51"/>
      <c r="G36" s="50">
        <v>46942605</v>
      </c>
      <c r="H36" s="17"/>
      <c r="I36" s="16">
        <v>2566883</v>
      </c>
      <c r="J36" s="17"/>
      <c r="K36" s="16">
        <v>9921488</v>
      </c>
      <c r="L36" s="17"/>
      <c r="M36" s="16">
        <f t="shared" si="1"/>
        <v>126810271</v>
      </c>
    </row>
    <row r="37" spans="1:13">
      <c r="A37" s="13" t="s">
        <v>19</v>
      </c>
      <c r="C37" s="50">
        <v>64181695</v>
      </c>
      <c r="D37" s="51"/>
      <c r="E37" s="50">
        <v>3193930</v>
      </c>
      <c r="F37" s="51"/>
      <c r="G37" s="50">
        <v>47065621</v>
      </c>
      <c r="H37" s="17"/>
      <c r="I37" s="16">
        <v>2573003</v>
      </c>
      <c r="J37" s="17"/>
      <c r="K37" s="16">
        <v>9926942</v>
      </c>
      <c r="L37" s="17"/>
      <c r="M37" s="16">
        <f t="shared" si="1"/>
        <v>126941191</v>
      </c>
    </row>
    <row r="38" spans="1:13">
      <c r="A38" s="13" t="s">
        <v>20</v>
      </c>
      <c r="C38" s="50">
        <v>65438052</v>
      </c>
      <c r="D38" s="51"/>
      <c r="E38" s="50">
        <v>3193930</v>
      </c>
      <c r="F38" s="51"/>
      <c r="G38" s="50">
        <v>47545449</v>
      </c>
      <c r="H38" s="17"/>
      <c r="I38" s="16">
        <v>2567183</v>
      </c>
      <c r="J38" s="17"/>
      <c r="K38" s="16">
        <v>9920833</v>
      </c>
      <c r="L38" s="17"/>
      <c r="M38" s="16">
        <f t="shared" si="1"/>
        <v>128665447</v>
      </c>
    </row>
    <row r="39" spans="1:13">
      <c r="A39" s="13" t="s">
        <v>21</v>
      </c>
      <c r="C39" s="50">
        <v>65446804</v>
      </c>
      <c r="D39" s="51"/>
      <c r="E39" s="50">
        <v>3193930</v>
      </c>
      <c r="F39" s="51"/>
      <c r="G39" s="50">
        <v>47702125</v>
      </c>
      <c r="H39" s="17"/>
      <c r="I39" s="16">
        <v>2564895</v>
      </c>
      <c r="J39" s="17"/>
      <c r="K39" s="16">
        <v>10012582</v>
      </c>
      <c r="L39" s="17"/>
      <c r="M39" s="16">
        <f t="shared" si="1"/>
        <v>128920336</v>
      </c>
    </row>
    <row r="40" spans="1:13" ht="13.5" thickBot="1">
      <c r="A40" s="19" t="s">
        <v>22</v>
      </c>
      <c r="C40" s="20">
        <f>ROUND(AVERAGE(C27:C39),0)</f>
        <v>64371571</v>
      </c>
      <c r="D40" s="17"/>
      <c r="E40" s="20">
        <f>ROUND(AVERAGE(E27:E39),0)</f>
        <v>3194654</v>
      </c>
      <c r="F40" s="17"/>
      <c r="G40" s="20">
        <f>ROUND(AVERAGE(G27:G39),0)</f>
        <v>46559915</v>
      </c>
      <c r="H40" s="17"/>
      <c r="I40" s="20">
        <f>ROUND(AVERAGE(I27:I39),0)</f>
        <v>2575589</v>
      </c>
      <c r="J40" s="17"/>
      <c r="K40" s="20">
        <f>ROUND(AVERAGE(K27:K39),0)</f>
        <v>10128604</v>
      </c>
      <c r="L40" s="17"/>
      <c r="M40" s="20">
        <f>ROUND(AVERAGE(M27:M39),0)</f>
        <v>126830332</v>
      </c>
    </row>
    <row r="41" spans="1:13" ht="13.5" thickTop="1">
      <c r="A41" s="19"/>
    </row>
    <row r="42" spans="1:13">
      <c r="A42" s="19"/>
      <c r="K42" s="58" t="s">
        <v>81</v>
      </c>
    </row>
    <row r="43" spans="1:13">
      <c r="A43" s="9" t="s">
        <v>2</v>
      </c>
      <c r="C43" s="10"/>
      <c r="D43" s="10"/>
      <c r="E43" s="290" t="s">
        <v>398</v>
      </c>
      <c r="F43" s="10"/>
      <c r="G43" s="10"/>
      <c r="H43" s="10"/>
      <c r="I43" s="10" t="s">
        <v>3</v>
      </c>
      <c r="J43" s="10"/>
      <c r="K43" s="10" t="s">
        <v>4</v>
      </c>
      <c r="L43" s="10"/>
      <c r="M43" s="10"/>
    </row>
    <row r="44" spans="1:13">
      <c r="A44" s="11" t="s">
        <v>5</v>
      </c>
      <c r="C44" s="12" t="s">
        <v>6</v>
      </c>
      <c r="D44" s="10"/>
      <c r="E44" s="12" t="s">
        <v>7</v>
      </c>
      <c r="F44" s="10"/>
      <c r="G44" s="12" t="s">
        <v>8</v>
      </c>
      <c r="H44" s="10"/>
      <c r="I44" s="12" t="s">
        <v>9</v>
      </c>
      <c r="J44" s="10"/>
      <c r="K44" s="12" t="s">
        <v>9</v>
      </c>
      <c r="L44" s="10"/>
      <c r="M44" s="12" t="s">
        <v>10</v>
      </c>
    </row>
    <row r="45" spans="1:13" ht="15" customHeight="1">
      <c r="A45" s="13" t="s">
        <v>28</v>
      </c>
      <c r="C45" s="48">
        <f t="shared" ref="C45:C57" si="2">C9-C27</f>
        <v>491827256</v>
      </c>
      <c r="D45" s="49"/>
      <c r="E45" s="48">
        <f t="shared" ref="E45:E57" si="3">E9-E27</f>
        <v>193630702</v>
      </c>
      <c r="F45" s="49"/>
      <c r="G45" s="48">
        <f t="shared" ref="G45:G57" si="4">G9-G27</f>
        <v>262211066</v>
      </c>
      <c r="H45" s="15"/>
      <c r="I45" s="14">
        <f t="shared" ref="I45:I57" si="5">I9-I27</f>
        <v>32101464</v>
      </c>
      <c r="J45" s="15"/>
      <c r="K45" s="14">
        <f t="shared" ref="K45:K57" si="6">K9-K27</f>
        <v>104943531</v>
      </c>
      <c r="L45" s="15"/>
      <c r="M45" s="14">
        <f t="shared" ref="M45:M57" si="7">SUM(C45:L45)</f>
        <v>1084714019</v>
      </c>
    </row>
    <row r="46" spans="1:13">
      <c r="A46" s="13" t="s">
        <v>32</v>
      </c>
      <c r="C46" s="50">
        <f t="shared" si="2"/>
        <v>491633413</v>
      </c>
      <c r="D46" s="51"/>
      <c r="E46" s="50">
        <f t="shared" si="3"/>
        <v>192464909</v>
      </c>
      <c r="F46" s="51"/>
      <c r="G46" s="50">
        <f t="shared" si="4"/>
        <v>263099550</v>
      </c>
      <c r="H46" s="17"/>
      <c r="I46" s="16">
        <f t="shared" si="5"/>
        <v>32975787</v>
      </c>
      <c r="J46" s="17"/>
      <c r="K46" s="16">
        <f t="shared" si="6"/>
        <v>105993186</v>
      </c>
      <c r="L46" s="17"/>
      <c r="M46" s="16">
        <f t="shared" si="7"/>
        <v>1086166845</v>
      </c>
    </row>
    <row r="47" spans="1:13">
      <c r="A47" s="13" t="s">
        <v>11</v>
      </c>
      <c r="C47" s="50">
        <f t="shared" si="2"/>
        <v>491753506</v>
      </c>
      <c r="D47" s="51"/>
      <c r="E47" s="50">
        <f t="shared" si="3"/>
        <v>192419821</v>
      </c>
      <c r="F47" s="51"/>
      <c r="G47" s="50">
        <f t="shared" si="4"/>
        <v>264230057</v>
      </c>
      <c r="H47" s="17"/>
      <c r="I47" s="16">
        <f t="shared" si="5"/>
        <v>33350366</v>
      </c>
      <c r="J47" s="17"/>
      <c r="K47" s="16">
        <f t="shared" si="6"/>
        <v>105519147</v>
      </c>
      <c r="L47" s="17"/>
      <c r="M47" s="16">
        <f t="shared" si="7"/>
        <v>1087272897</v>
      </c>
    </row>
    <row r="48" spans="1:13">
      <c r="A48" s="13" t="s">
        <v>12</v>
      </c>
      <c r="C48" s="50">
        <f t="shared" si="2"/>
        <v>491747617</v>
      </c>
      <c r="D48" s="51"/>
      <c r="E48" s="50">
        <f t="shared" si="3"/>
        <v>192647241</v>
      </c>
      <c r="F48" s="51"/>
      <c r="G48" s="50">
        <f t="shared" si="4"/>
        <v>265254704</v>
      </c>
      <c r="H48" s="17"/>
      <c r="I48" s="16">
        <f t="shared" si="5"/>
        <v>33855799</v>
      </c>
      <c r="J48" s="17"/>
      <c r="K48" s="16">
        <f t="shared" si="6"/>
        <v>105663982</v>
      </c>
      <c r="L48" s="17"/>
      <c r="M48" s="16">
        <f t="shared" si="7"/>
        <v>1089169343</v>
      </c>
    </row>
    <row r="49" spans="1:13">
      <c r="A49" s="13" t="s">
        <v>13</v>
      </c>
      <c r="C49" s="50">
        <f t="shared" si="2"/>
        <v>491857462</v>
      </c>
      <c r="D49" s="51"/>
      <c r="E49" s="50">
        <f t="shared" si="3"/>
        <v>193593247</v>
      </c>
      <c r="F49" s="51"/>
      <c r="G49" s="50">
        <f t="shared" si="4"/>
        <v>268762957</v>
      </c>
      <c r="H49" s="17"/>
      <c r="I49" s="16">
        <f t="shared" si="5"/>
        <v>34116846</v>
      </c>
      <c r="J49" s="17"/>
      <c r="K49" s="16">
        <f t="shared" si="6"/>
        <v>104964832</v>
      </c>
      <c r="L49" s="17"/>
      <c r="M49" s="16">
        <f t="shared" si="7"/>
        <v>1093295344</v>
      </c>
    </row>
    <row r="50" spans="1:13">
      <c r="A50" s="13" t="s">
        <v>14</v>
      </c>
      <c r="C50" s="50">
        <f t="shared" si="2"/>
        <v>491793690</v>
      </c>
      <c r="D50" s="51"/>
      <c r="E50" s="50">
        <f t="shared" si="3"/>
        <v>194118885</v>
      </c>
      <c r="F50" s="51"/>
      <c r="G50" s="50">
        <f t="shared" si="4"/>
        <v>270461700</v>
      </c>
      <c r="H50" s="17"/>
      <c r="I50" s="16">
        <f t="shared" si="5"/>
        <v>28281924</v>
      </c>
      <c r="J50" s="17"/>
      <c r="K50" s="16">
        <f t="shared" si="6"/>
        <v>99425020</v>
      </c>
      <c r="L50" s="17"/>
      <c r="M50" s="16">
        <f t="shared" si="7"/>
        <v>1084081219</v>
      </c>
    </row>
    <row r="51" spans="1:13">
      <c r="A51" s="13" t="s">
        <v>15</v>
      </c>
      <c r="C51" s="50">
        <f t="shared" si="2"/>
        <v>491727216</v>
      </c>
      <c r="D51" s="51"/>
      <c r="E51" s="50">
        <f t="shared" si="3"/>
        <v>195646525</v>
      </c>
      <c r="F51" s="51"/>
      <c r="G51" s="50">
        <f t="shared" si="4"/>
        <v>272517972</v>
      </c>
      <c r="H51" s="17"/>
      <c r="I51" s="16">
        <f t="shared" si="5"/>
        <v>28404647</v>
      </c>
      <c r="J51" s="17"/>
      <c r="K51" s="16">
        <f t="shared" si="6"/>
        <v>99934803</v>
      </c>
      <c r="L51" s="17"/>
      <c r="M51" s="16">
        <f t="shared" si="7"/>
        <v>1088231163</v>
      </c>
    </row>
    <row r="52" spans="1:13">
      <c r="A52" s="13" t="s">
        <v>16</v>
      </c>
      <c r="C52" s="50">
        <f t="shared" si="2"/>
        <v>491778401</v>
      </c>
      <c r="D52" s="51"/>
      <c r="E52" s="50">
        <f t="shared" si="3"/>
        <v>200801465</v>
      </c>
      <c r="F52" s="51"/>
      <c r="G52" s="50">
        <f t="shared" si="4"/>
        <v>275333253</v>
      </c>
      <c r="H52" s="17"/>
      <c r="I52" s="16">
        <f t="shared" si="5"/>
        <v>28457160</v>
      </c>
      <c r="J52" s="17"/>
      <c r="K52" s="16">
        <f t="shared" si="6"/>
        <v>110426856</v>
      </c>
      <c r="L52" s="17"/>
      <c r="M52" s="16">
        <f t="shared" si="7"/>
        <v>1106797135</v>
      </c>
    </row>
    <row r="53" spans="1:13">
      <c r="A53" s="13" t="s">
        <v>17</v>
      </c>
      <c r="C53" s="50">
        <f t="shared" si="2"/>
        <v>544365138</v>
      </c>
      <c r="D53" s="51"/>
      <c r="E53" s="50">
        <f t="shared" si="3"/>
        <v>208474803</v>
      </c>
      <c r="F53" s="51"/>
      <c r="G53" s="50">
        <f t="shared" si="4"/>
        <v>278503526</v>
      </c>
      <c r="H53" s="17"/>
      <c r="I53" s="16">
        <f t="shared" si="5"/>
        <v>29514176</v>
      </c>
      <c r="J53" s="17"/>
      <c r="K53" s="16">
        <f t="shared" si="6"/>
        <v>111308821</v>
      </c>
      <c r="L53" s="17"/>
      <c r="M53" s="16">
        <f t="shared" si="7"/>
        <v>1172166464</v>
      </c>
    </row>
    <row r="54" spans="1:13">
      <c r="A54" s="13" t="s">
        <v>18</v>
      </c>
      <c r="C54" s="50">
        <f t="shared" si="2"/>
        <v>545509053</v>
      </c>
      <c r="D54" s="51"/>
      <c r="E54" s="50">
        <f t="shared" si="3"/>
        <v>212415996</v>
      </c>
      <c r="F54" s="51"/>
      <c r="G54" s="50">
        <f t="shared" si="4"/>
        <v>281230118</v>
      </c>
      <c r="H54" s="17"/>
      <c r="I54" s="16">
        <f t="shared" si="5"/>
        <v>29706734</v>
      </c>
      <c r="J54" s="17"/>
      <c r="K54" s="16">
        <f t="shared" si="6"/>
        <v>111546815</v>
      </c>
      <c r="L54" s="17"/>
      <c r="M54" s="16">
        <f t="shared" si="7"/>
        <v>1180408716</v>
      </c>
    </row>
    <row r="55" spans="1:13">
      <c r="A55" s="13" t="s">
        <v>19</v>
      </c>
      <c r="C55" s="50">
        <f t="shared" si="2"/>
        <v>546193457</v>
      </c>
      <c r="D55" s="51"/>
      <c r="E55" s="50">
        <f t="shared" si="3"/>
        <v>212121617</v>
      </c>
      <c r="F55" s="51"/>
      <c r="G55" s="50">
        <f t="shared" si="4"/>
        <v>287991817</v>
      </c>
      <c r="H55" s="17"/>
      <c r="I55" s="16">
        <f t="shared" si="5"/>
        <v>29799651</v>
      </c>
      <c r="J55" s="17"/>
      <c r="K55" s="16">
        <f t="shared" si="6"/>
        <v>112004536</v>
      </c>
      <c r="L55" s="17"/>
      <c r="M55" s="16">
        <f t="shared" si="7"/>
        <v>1188111078</v>
      </c>
    </row>
    <row r="56" spans="1:13">
      <c r="A56" s="13" t="s">
        <v>20</v>
      </c>
      <c r="C56" s="50">
        <f t="shared" si="2"/>
        <v>546841021</v>
      </c>
      <c r="D56" s="51"/>
      <c r="E56" s="50">
        <f t="shared" si="3"/>
        <v>218464671</v>
      </c>
      <c r="F56" s="51"/>
      <c r="G56" s="50">
        <f t="shared" si="4"/>
        <v>292028629</v>
      </c>
      <c r="H56" s="17"/>
      <c r="I56" s="16">
        <f t="shared" si="5"/>
        <v>29991482</v>
      </c>
      <c r="J56" s="17"/>
      <c r="K56" s="16">
        <f t="shared" si="6"/>
        <v>112611128</v>
      </c>
      <c r="L56" s="17"/>
      <c r="M56" s="16">
        <f t="shared" si="7"/>
        <v>1199936931</v>
      </c>
    </row>
    <row r="57" spans="1:13">
      <c r="A57" s="13" t="s">
        <v>21</v>
      </c>
      <c r="C57" s="50">
        <f t="shared" si="2"/>
        <v>548820204</v>
      </c>
      <c r="D57" s="51"/>
      <c r="E57" s="50">
        <f t="shared" si="3"/>
        <v>225802587</v>
      </c>
      <c r="F57" s="51"/>
      <c r="G57" s="50">
        <f t="shared" si="4"/>
        <v>295949658</v>
      </c>
      <c r="H57" s="17"/>
      <c r="I57" s="16">
        <f t="shared" si="5"/>
        <v>30918288</v>
      </c>
      <c r="J57" s="17"/>
      <c r="K57" s="16">
        <f t="shared" si="6"/>
        <v>116306737</v>
      </c>
      <c r="L57" s="17"/>
      <c r="M57" s="16">
        <f t="shared" si="7"/>
        <v>1217797474</v>
      </c>
    </row>
    <row r="58" spans="1:13" ht="13.5" thickBot="1">
      <c r="A58" s="19" t="s">
        <v>22</v>
      </c>
      <c r="C58" s="20">
        <f>ROUND(AVERAGE(C45:C57),0)</f>
        <v>512757495</v>
      </c>
      <c r="D58" s="17"/>
      <c r="E58" s="20">
        <f>ROUND(AVERAGE(E45:E57),0)</f>
        <v>202507882</v>
      </c>
      <c r="F58" s="17"/>
      <c r="G58" s="20">
        <f>ROUND(AVERAGE(G45:G57),0)</f>
        <v>275198077</v>
      </c>
      <c r="H58" s="17"/>
      <c r="I58" s="20">
        <f>ROUND(AVERAGE(I45:I57),0)</f>
        <v>30882640</v>
      </c>
      <c r="J58" s="17"/>
      <c r="K58" s="20">
        <f>ROUND(AVERAGE(K45:K57),0)</f>
        <v>107742261</v>
      </c>
      <c r="L58" s="17"/>
      <c r="M58" s="20">
        <f>ROUND(AVERAGE(M45:M57),0)</f>
        <v>1129088356</v>
      </c>
    </row>
    <row r="59" spans="1:13" ht="13.5" thickTop="1"/>
    <row r="60" spans="1:13">
      <c r="A60" s="281" t="s">
        <v>384</v>
      </c>
    </row>
    <row r="61" spans="1:13">
      <c r="A61" s="292" t="s">
        <v>402</v>
      </c>
    </row>
    <row r="62" spans="1:13">
      <c r="A62" s="292" t="s">
        <v>403</v>
      </c>
    </row>
    <row r="63" spans="1:13">
      <c r="A63" s="292" t="s">
        <v>401</v>
      </c>
    </row>
  </sheetData>
  <printOptions horizontalCentered="1"/>
  <pageMargins left="0.17" right="0.17" top="0.75" bottom="0.54" header="0.3" footer="0.17"/>
  <pageSetup scale="87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/>
  </sheetViews>
  <sheetFormatPr defaultRowHeight="12.75"/>
  <cols>
    <col min="1" max="1" width="15.7109375" style="21" customWidth="1"/>
    <col min="2" max="2" width="2.7109375" style="8" customWidth="1"/>
    <col min="3" max="3" width="12.7109375" style="8" customWidth="1"/>
    <col min="4" max="4" width="2.7109375" style="18" customWidth="1"/>
    <col min="5" max="5" width="12.7109375" style="8" customWidth="1"/>
    <col min="6" max="6" width="2.7109375" style="18" customWidth="1"/>
    <col min="7" max="7" width="12.7109375" style="8" customWidth="1"/>
    <col min="8" max="8" width="2.7109375" style="8" customWidth="1"/>
    <col min="9" max="9" width="19.5703125" style="8" bestFit="1" customWidth="1"/>
    <col min="10" max="10" width="2.7109375" style="8" customWidth="1"/>
    <col min="11" max="11" width="11.7109375" style="8" bestFit="1" customWidth="1"/>
    <col min="12" max="12" width="10.140625" style="8" bestFit="1" customWidth="1"/>
    <col min="13" max="16384" width="9.140625" style="8"/>
  </cols>
  <sheetData>
    <row r="1" spans="1:7">
      <c r="A1" s="5" t="s">
        <v>0</v>
      </c>
      <c r="B1" s="6"/>
      <c r="C1" s="6"/>
      <c r="D1" s="7"/>
      <c r="E1" s="6"/>
      <c r="F1" s="7"/>
      <c r="G1" s="6"/>
    </row>
    <row r="2" spans="1:7">
      <c r="A2" s="5" t="str">
        <f>'Reconcile FF1 to Juris-Plt'!A2</f>
        <v>MISO Attachment O Annual True-up</v>
      </c>
      <c r="B2" s="6"/>
      <c r="C2" s="6"/>
      <c r="D2" s="7"/>
      <c r="E2" s="6"/>
      <c r="F2" s="7"/>
      <c r="G2" s="6"/>
    </row>
    <row r="3" spans="1:7">
      <c r="A3" s="5" t="s">
        <v>87</v>
      </c>
      <c r="B3" s="6"/>
      <c r="C3" s="6"/>
      <c r="D3" s="7"/>
      <c r="E3" s="6"/>
      <c r="F3" s="7"/>
      <c r="G3" s="6"/>
    </row>
    <row r="4" spans="1:7">
      <c r="A4" s="5" t="str">
        <f>'Plant in Service'!A4</f>
        <v>Thirteen Months Ended December 31, 2014</v>
      </c>
      <c r="B4" s="6"/>
      <c r="C4" s="6"/>
      <c r="D4" s="7"/>
      <c r="E4" s="6"/>
      <c r="F4" s="7"/>
      <c r="G4" s="6"/>
    </row>
    <row r="7" spans="1:7">
      <c r="A7" s="64" t="s">
        <v>10</v>
      </c>
      <c r="D7" s="8"/>
      <c r="E7" s="10" t="s">
        <v>24</v>
      </c>
      <c r="G7" s="10" t="s">
        <v>10</v>
      </c>
    </row>
    <row r="8" spans="1:7">
      <c r="A8" s="61" t="s">
        <v>85</v>
      </c>
      <c r="C8" s="12" t="s">
        <v>24</v>
      </c>
      <c r="D8" s="8"/>
      <c r="E8" s="12" t="s">
        <v>9</v>
      </c>
      <c r="G8" s="12" t="s">
        <v>24</v>
      </c>
    </row>
    <row r="9" spans="1:7">
      <c r="A9" s="13" t="str">
        <f>'Plant in Service'!A9</f>
        <v>December 2013</v>
      </c>
      <c r="C9" s="48">
        <v>25590390</v>
      </c>
      <c r="D9" s="48"/>
      <c r="E9" s="48">
        <v>9141165</v>
      </c>
      <c r="F9" s="49"/>
      <c r="G9" s="48">
        <f>SUM(C9:E9)</f>
        <v>34731555</v>
      </c>
    </row>
    <row r="10" spans="1:7">
      <c r="A10" s="13" t="str">
        <f>'Plant in Service'!A10</f>
        <v>January 2014</v>
      </c>
      <c r="C10" s="50">
        <v>26440634</v>
      </c>
      <c r="D10" s="21"/>
      <c r="E10" s="50">
        <v>9141165</v>
      </c>
      <c r="F10" s="51"/>
      <c r="G10" s="50">
        <f t="shared" ref="G10:G21" si="0">SUM(C10:E10)</f>
        <v>35581799</v>
      </c>
    </row>
    <row r="11" spans="1:7">
      <c r="A11" s="13" t="s">
        <v>11</v>
      </c>
      <c r="C11" s="50">
        <v>26826037</v>
      </c>
      <c r="D11" s="21"/>
      <c r="E11" s="50">
        <v>9141165</v>
      </c>
      <c r="F11" s="51"/>
      <c r="G11" s="50">
        <f t="shared" si="0"/>
        <v>35967202</v>
      </c>
    </row>
    <row r="12" spans="1:7">
      <c r="A12" s="13" t="s">
        <v>12</v>
      </c>
      <c r="C12" s="50">
        <v>27302375</v>
      </c>
      <c r="D12" s="21"/>
      <c r="E12" s="50">
        <v>9141165</v>
      </c>
      <c r="F12" s="51"/>
      <c r="G12" s="50">
        <f t="shared" si="0"/>
        <v>36443540</v>
      </c>
    </row>
    <row r="13" spans="1:7">
      <c r="A13" s="13" t="s">
        <v>13</v>
      </c>
      <c r="C13" s="50">
        <v>27537661</v>
      </c>
      <c r="D13" s="21"/>
      <c r="E13" s="50">
        <v>9141165</v>
      </c>
      <c r="F13" s="51"/>
      <c r="G13" s="50">
        <f t="shared" si="0"/>
        <v>36678826</v>
      </c>
    </row>
    <row r="14" spans="1:7">
      <c r="A14" s="13" t="s">
        <v>14</v>
      </c>
      <c r="C14" s="50">
        <v>27387194</v>
      </c>
      <c r="D14" s="21"/>
      <c r="E14" s="50">
        <v>3444679</v>
      </c>
      <c r="F14" s="51"/>
      <c r="G14" s="50">
        <f t="shared" si="0"/>
        <v>30831873</v>
      </c>
    </row>
    <row r="15" spans="1:7">
      <c r="A15" s="13" t="s">
        <v>15</v>
      </c>
      <c r="C15" s="50">
        <v>27424783</v>
      </c>
      <c r="D15" s="21"/>
      <c r="E15" s="50">
        <v>3531177</v>
      </c>
      <c r="F15" s="51"/>
      <c r="G15" s="50">
        <f t="shared" si="0"/>
        <v>30955960</v>
      </c>
    </row>
    <row r="16" spans="1:7">
      <c r="A16" s="13" t="s">
        <v>16</v>
      </c>
      <c r="C16" s="50">
        <v>27474441</v>
      </c>
      <c r="D16" s="21"/>
      <c r="E16" s="50">
        <v>3531177</v>
      </c>
      <c r="F16" s="51"/>
      <c r="G16" s="50">
        <f t="shared" si="0"/>
        <v>31005618</v>
      </c>
    </row>
    <row r="17" spans="1:7">
      <c r="A17" s="13" t="s">
        <v>17</v>
      </c>
      <c r="C17" s="50">
        <v>28541306</v>
      </c>
      <c r="D17" s="21"/>
      <c r="E17" s="50">
        <v>3531177</v>
      </c>
      <c r="F17" s="51"/>
      <c r="G17" s="50">
        <f t="shared" si="0"/>
        <v>32072483</v>
      </c>
    </row>
    <row r="18" spans="1:7">
      <c r="A18" s="13" t="s">
        <v>18</v>
      </c>
      <c r="C18" s="50">
        <v>28706962</v>
      </c>
      <c r="D18" s="21"/>
      <c r="E18" s="50">
        <v>3566655</v>
      </c>
      <c r="F18" s="51"/>
      <c r="G18" s="50">
        <f t="shared" si="0"/>
        <v>32273617</v>
      </c>
    </row>
    <row r="19" spans="1:7">
      <c r="A19" s="13" t="s">
        <v>19</v>
      </c>
      <c r="C19" s="50">
        <v>28792686</v>
      </c>
      <c r="D19" s="21"/>
      <c r="E19" s="50">
        <v>3579968</v>
      </c>
      <c r="F19" s="51"/>
      <c r="G19" s="50">
        <f t="shared" si="0"/>
        <v>32372654</v>
      </c>
    </row>
    <row r="20" spans="1:7">
      <c r="A20" s="13" t="s">
        <v>20</v>
      </c>
      <c r="C20" s="50">
        <v>28978676</v>
      </c>
      <c r="D20" s="21"/>
      <c r="E20" s="50">
        <v>3579989</v>
      </c>
      <c r="F20" s="51"/>
      <c r="G20" s="50">
        <f t="shared" si="0"/>
        <v>32558665</v>
      </c>
    </row>
    <row r="21" spans="1:7">
      <c r="A21" s="13" t="s">
        <v>21</v>
      </c>
      <c r="C21" s="50">
        <v>29903194</v>
      </c>
      <c r="D21" s="21"/>
      <c r="E21" s="50">
        <v>3579989</v>
      </c>
      <c r="F21" s="51"/>
      <c r="G21" s="50">
        <f t="shared" si="0"/>
        <v>33483183</v>
      </c>
    </row>
    <row r="24" spans="1:7">
      <c r="A24" s="64" t="s">
        <v>69</v>
      </c>
      <c r="D24" s="8"/>
      <c r="E24" s="10" t="s">
        <v>24</v>
      </c>
      <c r="G24" s="10" t="s">
        <v>10</v>
      </c>
    </row>
    <row r="25" spans="1:7">
      <c r="A25" s="11" t="s">
        <v>76</v>
      </c>
      <c r="C25" s="12" t="s">
        <v>24</v>
      </c>
      <c r="D25" s="8"/>
      <c r="E25" s="12" t="s">
        <v>9</v>
      </c>
      <c r="G25" s="12" t="s">
        <v>24</v>
      </c>
    </row>
    <row r="26" spans="1:7">
      <c r="A26" s="13" t="str">
        <f>A9</f>
        <v>December 2013</v>
      </c>
      <c r="C26" s="50">
        <v>2251462</v>
      </c>
      <c r="D26" s="21"/>
      <c r="E26" s="50">
        <v>378629</v>
      </c>
      <c r="F26" s="51"/>
      <c r="G26" s="50">
        <f>SUM(C26:E26)</f>
        <v>2630091</v>
      </c>
    </row>
    <row r="27" spans="1:7">
      <c r="A27" s="13" t="str">
        <f>A10</f>
        <v>January 2014</v>
      </c>
      <c r="C27" s="50">
        <v>2243655</v>
      </c>
      <c r="D27" s="21"/>
      <c r="E27" s="50">
        <v>362357</v>
      </c>
      <c r="F27" s="51"/>
      <c r="G27" s="50">
        <f t="shared" ref="G27:G38" si="1">SUM(C27:E27)</f>
        <v>2606012</v>
      </c>
    </row>
    <row r="28" spans="1:7">
      <c r="A28" s="13" t="s">
        <v>11</v>
      </c>
      <c r="C28" s="50">
        <v>2254479</v>
      </c>
      <c r="D28" s="21"/>
      <c r="E28" s="50">
        <v>362357</v>
      </c>
      <c r="F28" s="51"/>
      <c r="G28" s="50">
        <f t="shared" si="1"/>
        <v>2616836</v>
      </c>
    </row>
    <row r="29" spans="1:7">
      <c r="A29" s="13" t="s">
        <v>12</v>
      </c>
      <c r="C29" s="50">
        <v>2225694</v>
      </c>
      <c r="D29" s="21"/>
      <c r="E29" s="50">
        <v>362047</v>
      </c>
      <c r="F29" s="51"/>
      <c r="G29" s="50">
        <f t="shared" si="1"/>
        <v>2587741</v>
      </c>
    </row>
    <row r="30" spans="1:7">
      <c r="A30" s="13" t="s">
        <v>13</v>
      </c>
      <c r="C30" s="50">
        <v>2199933</v>
      </c>
      <c r="D30" s="21"/>
      <c r="E30" s="50">
        <v>362047</v>
      </c>
      <c r="F30" s="51"/>
      <c r="G30" s="50">
        <f t="shared" si="1"/>
        <v>2561980</v>
      </c>
    </row>
    <row r="31" spans="1:7">
      <c r="A31" s="13" t="s">
        <v>14</v>
      </c>
      <c r="C31" s="50">
        <v>2187902</v>
      </c>
      <c r="D31" s="21"/>
      <c r="E31" s="50">
        <v>362047</v>
      </c>
      <c r="F31" s="51"/>
      <c r="G31" s="50">
        <f t="shared" si="1"/>
        <v>2549949</v>
      </c>
    </row>
    <row r="32" spans="1:7">
      <c r="A32" s="13" t="s">
        <v>15</v>
      </c>
      <c r="C32" s="50">
        <v>2180225</v>
      </c>
      <c r="D32" s="21"/>
      <c r="E32" s="50">
        <v>371088</v>
      </c>
      <c r="F32" s="51"/>
      <c r="G32" s="50">
        <f t="shared" si="1"/>
        <v>2551313</v>
      </c>
    </row>
    <row r="33" spans="1:7">
      <c r="A33" s="13" t="s">
        <v>16</v>
      </c>
      <c r="C33" s="50">
        <v>2181563</v>
      </c>
      <c r="D33" s="21"/>
      <c r="E33" s="50">
        <v>366895</v>
      </c>
      <c r="F33" s="51"/>
      <c r="G33" s="50">
        <f t="shared" si="1"/>
        <v>2548458</v>
      </c>
    </row>
    <row r="34" spans="1:7">
      <c r="A34" s="13" t="s">
        <v>17</v>
      </c>
      <c r="C34" s="50">
        <v>2191412</v>
      </c>
      <c r="D34" s="21"/>
      <c r="E34" s="50">
        <v>366895</v>
      </c>
      <c r="F34" s="51"/>
      <c r="G34" s="50">
        <f t="shared" si="1"/>
        <v>2558307</v>
      </c>
    </row>
    <row r="35" spans="1:7">
      <c r="A35" s="13" t="s">
        <v>18</v>
      </c>
      <c r="C35" s="50">
        <v>2196280</v>
      </c>
      <c r="D35" s="21"/>
      <c r="E35" s="50">
        <v>370603</v>
      </c>
      <c r="F35" s="51"/>
      <c r="G35" s="50">
        <f t="shared" si="1"/>
        <v>2566883</v>
      </c>
    </row>
    <row r="36" spans="1:7">
      <c r="A36" s="13" t="s">
        <v>19</v>
      </c>
      <c r="C36" s="50">
        <v>2201008</v>
      </c>
      <c r="D36" s="21"/>
      <c r="E36" s="50">
        <v>371995</v>
      </c>
      <c r="F36" s="51"/>
      <c r="G36" s="50">
        <f t="shared" si="1"/>
        <v>2573003</v>
      </c>
    </row>
    <row r="37" spans="1:7">
      <c r="A37" s="13" t="s">
        <v>20</v>
      </c>
      <c r="C37" s="50">
        <v>2201003</v>
      </c>
      <c r="D37" s="21"/>
      <c r="E37" s="50">
        <v>366180</v>
      </c>
      <c r="F37" s="51"/>
      <c r="G37" s="50">
        <f t="shared" si="1"/>
        <v>2567183</v>
      </c>
    </row>
    <row r="38" spans="1:7">
      <c r="A38" s="13" t="s">
        <v>21</v>
      </c>
      <c r="C38" s="50">
        <v>2198715</v>
      </c>
      <c r="D38" s="21"/>
      <c r="E38" s="50">
        <v>366180</v>
      </c>
      <c r="F38" s="51"/>
      <c r="G38" s="50">
        <f t="shared" si="1"/>
        <v>2564895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/>
  </sheetViews>
  <sheetFormatPr defaultRowHeight="12.75"/>
  <cols>
    <col min="1" max="2" width="2.7109375" style="2" customWidth="1"/>
    <col min="3" max="3" width="17" style="2" bestFit="1" customWidth="1"/>
    <col min="4" max="4" width="2.7109375" style="2" customWidth="1"/>
    <col min="5" max="5" width="11.7109375" style="25" bestFit="1" customWidth="1"/>
    <col min="6" max="6" width="2.7109375" style="25" customWidth="1"/>
    <col min="7" max="7" width="11.7109375" style="25" bestFit="1" customWidth="1"/>
    <col min="8" max="8" width="2.7109375" style="25" customWidth="1"/>
    <col min="9" max="9" width="11.85546875" style="25" bestFit="1" customWidth="1"/>
    <col min="10" max="10" width="2.7109375" style="25" customWidth="1"/>
    <col min="11" max="11" width="10.85546875" style="25" bestFit="1" customWidth="1"/>
    <col min="12" max="12" width="2.7109375" style="25" customWidth="1"/>
    <col min="13" max="13" width="10.85546875" style="25" bestFit="1" customWidth="1"/>
    <col min="14" max="14" width="2.7109375" style="25" customWidth="1"/>
    <col min="15" max="15" width="10.85546875" style="25" bestFit="1" customWidth="1"/>
    <col min="16" max="16384" width="9.140625" style="2"/>
  </cols>
  <sheetData>
    <row r="1" spans="1:15">
      <c r="A1" s="4" t="s">
        <v>0</v>
      </c>
      <c r="B1" s="4"/>
      <c r="C1" s="4"/>
      <c r="D1" s="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" t="s">
        <v>64</v>
      </c>
      <c r="B2" s="4"/>
      <c r="C2" s="4"/>
      <c r="D2" s="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4" t="s">
        <v>75</v>
      </c>
      <c r="B3" s="4"/>
      <c r="C3" s="4"/>
      <c r="D3" s="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" t="s">
        <v>34</v>
      </c>
      <c r="B4" s="4"/>
      <c r="C4" s="4"/>
      <c r="D4" s="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4" t="s">
        <v>27</v>
      </c>
      <c r="B5" s="4"/>
      <c r="C5" s="4"/>
      <c r="D5" s="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>
      <c r="E7" s="44"/>
      <c r="G7" s="44"/>
      <c r="I7" s="44" t="s">
        <v>65</v>
      </c>
      <c r="K7" s="44" t="s">
        <v>66</v>
      </c>
      <c r="M7" s="44"/>
      <c r="O7" s="44"/>
    </row>
    <row r="8" spans="1:15">
      <c r="E8" s="31" t="s">
        <v>10</v>
      </c>
      <c r="G8" s="31" t="s">
        <v>67</v>
      </c>
      <c r="I8" s="31" t="s">
        <v>68</v>
      </c>
      <c r="K8" s="31" t="s">
        <v>68</v>
      </c>
      <c r="M8" s="31" t="s">
        <v>69</v>
      </c>
      <c r="O8" s="31" t="s">
        <v>70</v>
      </c>
    </row>
    <row r="9" spans="1:15">
      <c r="A9" s="159" t="s">
        <v>211</v>
      </c>
    </row>
    <row r="10" spans="1:15">
      <c r="B10" s="2" t="s">
        <v>23</v>
      </c>
      <c r="E10" s="2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>
      <c r="C11" s="2" t="s">
        <v>25</v>
      </c>
      <c r="E11" s="45">
        <f>SUM(G11:M11)</f>
        <v>44840665</v>
      </c>
      <c r="F11" s="45"/>
      <c r="G11" s="45">
        <v>6511847</v>
      </c>
      <c r="H11" s="45"/>
      <c r="I11" s="45">
        <v>33265826</v>
      </c>
      <c r="J11" s="45"/>
      <c r="K11" s="45">
        <v>1394923</v>
      </c>
      <c r="L11" s="45"/>
      <c r="M11" s="45">
        <v>3668069</v>
      </c>
      <c r="N11" s="45"/>
      <c r="O11" s="45"/>
    </row>
    <row r="12" spans="1:15">
      <c r="C12" s="2" t="s">
        <v>71</v>
      </c>
      <c r="E12" s="25">
        <f>SUM(G12:M12)</f>
        <v>21832944</v>
      </c>
      <c r="F12" s="46"/>
      <c r="G12" s="46">
        <f>4181302-1</f>
        <v>4181301</v>
      </c>
      <c r="H12" s="46"/>
      <c r="I12" s="46">
        <v>14031957</v>
      </c>
      <c r="J12" s="46"/>
      <c r="K12" s="46">
        <v>1257056</v>
      </c>
      <c r="L12" s="46"/>
      <c r="M12" s="46">
        <v>2362630</v>
      </c>
      <c r="N12" s="46"/>
      <c r="O12" s="46"/>
    </row>
    <row r="13" spans="1:15">
      <c r="B13" s="2" t="s">
        <v>72</v>
      </c>
      <c r="E13" s="2"/>
    </row>
    <row r="14" spans="1:15">
      <c r="C14" s="2" t="s">
        <v>25</v>
      </c>
      <c r="E14" s="25">
        <f>SUM(G14:M14)</f>
        <v>29525137</v>
      </c>
      <c r="G14" s="25">
        <f>10932671-1</f>
        <v>10932670</v>
      </c>
      <c r="I14" s="25">
        <v>13774317</v>
      </c>
      <c r="K14" s="25">
        <v>2869203</v>
      </c>
      <c r="M14" s="25">
        <v>1948947</v>
      </c>
    </row>
    <row r="15" spans="1:15">
      <c r="C15" s="2" t="s">
        <v>71</v>
      </c>
      <c r="E15" s="25">
        <f>SUM(G15:M15)</f>
        <v>28384801</v>
      </c>
      <c r="G15" s="25">
        <v>8462731</v>
      </c>
      <c r="I15" s="25">
        <v>11464372</v>
      </c>
      <c r="K15" s="25">
        <v>6424762</v>
      </c>
      <c r="M15" s="25">
        <v>2032936</v>
      </c>
    </row>
    <row r="16" spans="1:15">
      <c r="B16" s="2" t="s">
        <v>26</v>
      </c>
      <c r="E16" s="2"/>
    </row>
    <row r="17" spans="1:15">
      <c r="C17" s="2" t="s">
        <v>25</v>
      </c>
      <c r="E17" s="25">
        <f>SUM(G17:O17)</f>
        <v>1070189</v>
      </c>
      <c r="O17" s="25">
        <v>1070189</v>
      </c>
    </row>
    <row r="18" spans="1:15">
      <c r="C18" s="2" t="s">
        <v>71</v>
      </c>
      <c r="E18" s="25">
        <f>SUM(G18:O18)</f>
        <v>665583</v>
      </c>
      <c r="O18" s="25">
        <v>665583</v>
      </c>
    </row>
    <row r="19" spans="1:15" ht="13.5" thickBot="1">
      <c r="A19" s="2" t="s">
        <v>73</v>
      </c>
      <c r="E19" s="47">
        <f>SUM(E11:E18)</f>
        <v>126319319</v>
      </c>
      <c r="G19" s="47">
        <f>SUM(G11:G18)</f>
        <v>30088549</v>
      </c>
      <c r="I19" s="47">
        <f>SUM(I11:I18)</f>
        <v>72536472</v>
      </c>
      <c r="K19" s="47">
        <f>SUM(K11:K18)</f>
        <v>11945944</v>
      </c>
      <c r="M19" s="47">
        <f>SUM(M11:M18)</f>
        <v>10012582</v>
      </c>
      <c r="O19" s="47">
        <f>SUM(O11:O18)</f>
        <v>1735772</v>
      </c>
    </row>
    <row r="20" spans="1:15" ht="13.5" thickTop="1"/>
  </sheetData>
  <printOptions horizontalCentered="1"/>
  <pageMargins left="0.17" right="0.17" top="1" bottom="0.75" header="0.3" footer="0.3"/>
  <pageSetup orientation="landscape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40</vt:i4>
      </vt:variant>
    </vt:vector>
  </HeadingPairs>
  <TitlesOfParts>
    <vt:vector size="71" baseType="lpstr">
      <vt:lpstr>Cover Page</vt:lpstr>
      <vt:lpstr>True-Up</vt:lpstr>
      <vt:lpstr>Accounting Changes</vt:lpstr>
      <vt:lpstr>Attachment O</vt:lpstr>
      <vt:lpstr>12 Coincident Peaks</vt:lpstr>
      <vt:lpstr>Reconcile FF1 to Juris-Plt</vt:lpstr>
      <vt:lpstr>Plant in Service</vt:lpstr>
      <vt:lpstr>General Plant</vt:lpstr>
      <vt:lpstr>Reconcile FF1 to Comm Plt</vt:lpstr>
      <vt:lpstr>Common Plant</vt:lpstr>
      <vt:lpstr>Recon FF1 to Juris Acc Res</vt:lpstr>
      <vt:lpstr>Accumulated Reserve</vt:lpstr>
      <vt:lpstr>General Reserve</vt:lpstr>
      <vt:lpstr>Reconcile FF1 to Com Res</vt:lpstr>
      <vt:lpstr>Common Reserve</vt:lpstr>
      <vt:lpstr>CWIP 13 Month Balances</vt:lpstr>
      <vt:lpstr>Adj to RB - Reconcile to F1</vt:lpstr>
      <vt:lpstr>Avg Adjustments to RB</vt:lpstr>
      <vt:lpstr>Materials &amp; Supplies</vt:lpstr>
      <vt:lpstr>Prepayments</vt:lpstr>
      <vt:lpstr>Transmission O&amp;M</vt:lpstr>
      <vt:lpstr>A&amp;G</vt:lpstr>
      <vt:lpstr>Reg Com &amp; NonSafety Ad Exp</vt:lpstr>
      <vt:lpstr>Other O&amp;M Expenses</vt:lpstr>
      <vt:lpstr>Production Related Trans</vt:lpstr>
      <vt:lpstr>Wages &amp; Salary</vt:lpstr>
      <vt:lpstr>Common Plant Allocator</vt:lpstr>
      <vt:lpstr>Cap Structure 2014</vt:lpstr>
      <vt:lpstr>Acct 454</vt:lpstr>
      <vt:lpstr>Acct 456.1</vt:lpstr>
      <vt:lpstr>SIT Calculation</vt:lpstr>
      <vt:lpstr>'A&amp;G'!Print_Area</vt:lpstr>
      <vt:lpstr>'Accounting Changes'!Print_Area</vt:lpstr>
      <vt:lpstr>'Acct 454'!Print_Area</vt:lpstr>
      <vt:lpstr>'Acct 456.1'!Print_Area</vt:lpstr>
      <vt:lpstr>'Accumulated Reserve'!Print_Area</vt:lpstr>
      <vt:lpstr>'Adj to RB - Reconcile to F1'!Print_Area</vt:lpstr>
      <vt:lpstr>'Attachment O'!Print_Area</vt:lpstr>
      <vt:lpstr>'Avg Adjustments to RB'!Print_Area</vt:lpstr>
      <vt:lpstr>'Cap Structure 2014'!Print_Area</vt:lpstr>
      <vt:lpstr>'Common Plant'!Print_Area</vt:lpstr>
      <vt:lpstr>'Common Plant Allocator'!Print_Area</vt:lpstr>
      <vt:lpstr>'Common Reserve'!Print_Area</vt:lpstr>
      <vt:lpstr>'Cover Page'!Print_Area</vt:lpstr>
      <vt:lpstr>'CWIP 13 Month Balances'!Print_Area</vt:lpstr>
      <vt:lpstr>'General Plant'!Print_Area</vt:lpstr>
      <vt:lpstr>'General Reserve'!Print_Area</vt:lpstr>
      <vt:lpstr>'Materials &amp; Supplies'!Print_Area</vt:lpstr>
      <vt:lpstr>'Other O&amp;M Expenses'!Print_Area</vt:lpstr>
      <vt:lpstr>'Plant in Service'!Print_Area</vt:lpstr>
      <vt:lpstr>Prepayments!Print_Area</vt:lpstr>
      <vt:lpstr>'Production Related Trans'!Print_Area</vt:lpstr>
      <vt:lpstr>'Recon FF1 to Juris Acc Res'!Print_Area</vt:lpstr>
      <vt:lpstr>'Reconcile FF1 to Com Res'!Print_Area</vt:lpstr>
      <vt:lpstr>'Reconcile FF1 to Comm Plt'!Print_Area</vt:lpstr>
      <vt:lpstr>'Reconcile FF1 to Juris-Plt'!Print_Area</vt:lpstr>
      <vt:lpstr>'Reg Com &amp; NonSafety Ad Exp'!Print_Area</vt:lpstr>
      <vt:lpstr>'SIT Calculation'!Print_Area</vt:lpstr>
      <vt:lpstr>'Transmission O&amp;M'!Print_Area</vt:lpstr>
      <vt:lpstr>'True-Up'!Print_Area</vt:lpstr>
      <vt:lpstr>'Wages &amp; Salary'!Print_Area</vt:lpstr>
      <vt:lpstr>'Accumulated Reserve'!Print_Titles</vt:lpstr>
      <vt:lpstr>'Common Plant'!Print_Titles</vt:lpstr>
      <vt:lpstr>'Common Reserve'!Print_Titles</vt:lpstr>
      <vt:lpstr>'General Plant'!Print_Titles</vt:lpstr>
      <vt:lpstr>'General Reserve'!Print_Titles</vt:lpstr>
      <vt:lpstr>'Plant in Service'!Print_Titles</vt:lpstr>
      <vt:lpstr>Prepayments!Print_Titles</vt:lpstr>
      <vt:lpstr>'Production Related Trans'!Print_Titles</vt:lpstr>
      <vt:lpstr>'Transmission O&amp;M'!Print_Titles</vt:lpstr>
      <vt:lpstr>Workpaper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2015-05-29T13:06:03Z</cp:lastPrinted>
  <dcterms:created xsi:type="dcterms:W3CDTF">2015-02-23T17:00:24Z</dcterms:created>
  <dcterms:modified xsi:type="dcterms:W3CDTF">2015-05-29T13:06:06Z</dcterms:modified>
</cp:coreProperties>
</file>