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65" windowWidth="18195" windowHeight="11160" tabRatio="873"/>
  </bookViews>
  <sheets>
    <sheet name="Cover Page" sheetId="3" r:id="rId1"/>
    <sheet name="Attachment O" sheetId="34" r:id="rId2"/>
    <sheet name="True-Up Adjustment" sheetId="32" r:id="rId3"/>
    <sheet name="Divisor" sheetId="1" r:id="rId4"/>
    <sheet name="Plant in Service" sheetId="4" r:id="rId5"/>
    <sheet name="Accumulated Reserve" sheetId="5" r:id="rId6"/>
    <sheet name="CWIP" sheetId="6" r:id="rId7"/>
    <sheet name="Adj to RB" sheetId="26" r:id="rId8"/>
    <sheet name="Materials &amp; Supplies" sheetId="9" r:id="rId9"/>
    <sheet name="Prepayments" sheetId="10" r:id="rId10"/>
    <sheet name="O&amp;M" sheetId="12" r:id="rId11"/>
    <sheet name="561.BA" sheetId="28" r:id="rId12"/>
    <sheet name="Acct 561 Load Dispatching" sheetId="22" r:id="rId13"/>
    <sheet name="O&amp;M Exclusions" sheetId="18" r:id="rId14"/>
    <sheet name="A&amp;G" sheetId="13" r:id="rId15"/>
    <sheet name="FERC Annual Fees" sheetId="14" r:id="rId16"/>
    <sheet name="Reg Com Exp" sheetId="15" r:id="rId17"/>
    <sheet name="Depreciation Expense" sheetId="19" r:id="rId18"/>
    <sheet name="TOTI" sheetId="16" r:id="rId19"/>
    <sheet name="Production Related Trans" sheetId="27" r:id="rId20"/>
    <sheet name="Transmission Exp incl in OATT" sheetId="20" r:id="rId21"/>
    <sheet name="Wages &amp; Salary" sheetId="17" r:id="rId22"/>
    <sheet name="Capital Structure" sheetId="23" r:id="rId23"/>
    <sheet name="MISO Schedule 1" sheetId="25" r:id="rId24"/>
    <sheet name="Common Plant Allocator" sheetId="29" r:id="rId25"/>
    <sheet name="Revenue Credits" sheetId="31" r:id="rId26"/>
    <sheet name="SIT Calc" sheetId="33" r:id="rId27"/>
  </sheets>
  <externalReferences>
    <externalReference r:id="rId28"/>
  </externalReferences>
  <definedNames>
    <definedName name="_xlnm.Print_Area" localSheetId="11">'561.BA'!$A$1:$I$22</definedName>
    <definedName name="_xlnm.Print_Area" localSheetId="14">'A&amp;G'!$A$1:$F$21</definedName>
    <definedName name="_xlnm.Print_Area" localSheetId="12">'Acct 561 Load Dispatching'!$A$1:$K$25</definedName>
    <definedName name="_xlnm.Print_Area" localSheetId="5">'Accumulated Reserve'!$A:$M</definedName>
    <definedName name="_xlnm.Print_Area" localSheetId="7">'Adj to RB'!$A$1:$K$19</definedName>
    <definedName name="_xlnm.Print_Area" localSheetId="1">'Attachment O'!$A$1:$L$392</definedName>
    <definedName name="_xlnm.Print_Area" localSheetId="22">'Capital Structure'!$A$1:$M$25</definedName>
    <definedName name="_xlnm.Print_Area" localSheetId="24">'Common Plant Allocator'!$A$1:$E$26</definedName>
    <definedName name="_xlnm.Print_Area" localSheetId="0">'Cover Page'!$A$1:$I$35</definedName>
    <definedName name="_xlnm.Print_Area" localSheetId="6">CWIP!$A$1:$G$26</definedName>
    <definedName name="_xlnm.Print_Area" localSheetId="17">'Depreciation Expense'!$A$1:$I$14</definedName>
    <definedName name="_xlnm.Print_Area" localSheetId="3">Divisor!$A$1:$C$20</definedName>
    <definedName name="_xlnm.Print_Area" localSheetId="15">'FERC Annual Fees'!$A$1:$G$31</definedName>
    <definedName name="_xlnm.Print_Area" localSheetId="8">'Materials &amp; Supplies'!$A$1:$K$46</definedName>
    <definedName name="_xlnm.Print_Area" localSheetId="10">'O&amp;M'!$A$1:$F$21</definedName>
    <definedName name="_xlnm.Print_Area" localSheetId="13">'O&amp;M Exclusions'!$A$1:$J$19</definedName>
    <definedName name="_xlnm.Print_Area" localSheetId="4">'Plant in Service'!$A:$M</definedName>
    <definedName name="_xlnm.Print_Area" localSheetId="9">Prepayments!$A$1:$I$42</definedName>
    <definedName name="_xlnm.Print_Area" localSheetId="19">'Production Related Trans'!$A$1:$C$57</definedName>
    <definedName name="_xlnm.Print_Area" localSheetId="16">'Reg Com Exp'!$A$1:$K$21</definedName>
    <definedName name="_xlnm.Print_Area" localSheetId="25">'Revenue Credits'!$A$1:$E$25</definedName>
    <definedName name="_xlnm.Print_Area" localSheetId="18">TOTI!$A$1:$I$33</definedName>
    <definedName name="_xlnm.Print_Area" localSheetId="20">'Transmission Exp incl in OATT'!$A$1:$J$16</definedName>
    <definedName name="_xlnm.Print_Area" localSheetId="2">'True-Up Adjustment'!$A$1:$E$32</definedName>
    <definedName name="_xlnm.Print_Area" localSheetId="21">'Wages &amp; Salary'!$A$1:$E$14</definedName>
    <definedName name="_xlnm.Print_Titles" localSheetId="5">'Accumulated Reserve'!$1:$7</definedName>
    <definedName name="_xlnm.Print_Titles" localSheetId="7">'Adj to RB'!$1:$5</definedName>
    <definedName name="_xlnm.Print_Titles" localSheetId="6">CWIP!$1:$7</definedName>
    <definedName name="_xlnm.Print_Titles" localSheetId="8">'Materials &amp; Supplies'!$1:$6</definedName>
    <definedName name="_xlnm.Print_Titles" localSheetId="4">'Plant in Service'!$1:$7</definedName>
    <definedName name="_xlnm.Print_Titles" localSheetId="9">Prepayments!$1:$6</definedName>
    <definedName name="_xlnm.Print_Titles" localSheetId="19">'Production Related Trans'!$1:$6</definedName>
    <definedName name="Reconciliation" localSheetId="14">'[1]Reg Com &amp; NonSafety Ad Exp (8)'!#REF!</definedName>
    <definedName name="Reconciliation" localSheetId="5">'[1]Reg Com &amp; NonSafety Ad Exp (8)'!#REF!</definedName>
    <definedName name="Reconciliation" localSheetId="7">'[1]Reg Com &amp; NonSafety Ad Exp (8)'!#REF!</definedName>
    <definedName name="Reconciliation" localSheetId="6">'[1]Reg Com &amp; NonSafety Ad Exp (8)'!#REF!</definedName>
    <definedName name="Reconciliation" localSheetId="17">'[1]Reg Com &amp; NonSafety Ad Exp (8)'!#REF!</definedName>
    <definedName name="Reconciliation" localSheetId="15">'[1]Reg Com &amp; NonSafety Ad Exp (8)'!#REF!</definedName>
    <definedName name="Reconciliation" localSheetId="8">'[1]Reg Com &amp; NonSafety Ad Exp (8)'!#REF!</definedName>
    <definedName name="Reconciliation" localSheetId="9">'[1]Reg Com &amp; NonSafety Ad Exp (8)'!#REF!</definedName>
    <definedName name="Reconciliation" localSheetId="16">'[1]Reg Com &amp; NonSafety Ad Exp (8)'!#REF!</definedName>
    <definedName name="Reconciliation" localSheetId="18">'[1]Reg Com &amp; NonSafety Ad Exp (8)'!#REF!</definedName>
    <definedName name="Reconciliation" localSheetId="20">'[1]Reg Com &amp; NonSafety Ad Exp (8)'!#REF!</definedName>
    <definedName name="Reconciliation" localSheetId="2">#REF!</definedName>
    <definedName name="Reconciliation" localSheetId="21">'[1]Reg Com &amp; NonSafety Ad Exp (8)'!#REF!</definedName>
    <definedName name="Reconciliation">'[1]Reg Com &amp; NonSafety Ad Exp (8)'!#REF!</definedName>
    <definedName name="Workpaper">#REF!</definedName>
  </definedNames>
  <calcPr calcId="145621"/>
</workbook>
</file>

<file path=xl/calcChain.xml><?xml version="1.0" encoding="utf-8"?>
<calcChain xmlns="http://schemas.openxmlformats.org/spreadsheetml/2006/main">
  <c r="E392" i="34" l="1"/>
  <c r="E390" i="34"/>
  <c r="E320" i="34"/>
  <c r="J317" i="34"/>
  <c r="J310" i="34"/>
  <c r="J301" i="34"/>
  <c r="H291" i="34"/>
  <c r="H290" i="34"/>
  <c r="J285" i="34"/>
  <c r="J284" i="34"/>
  <c r="J287" i="34" s="1"/>
  <c r="E292" i="34" s="1"/>
  <c r="E293" i="34" s="1"/>
  <c r="E276" i="34"/>
  <c r="H274" i="34"/>
  <c r="J272" i="34"/>
  <c r="E269" i="34"/>
  <c r="H268" i="34"/>
  <c r="H267" i="34"/>
  <c r="H265" i="34"/>
  <c r="J259" i="34"/>
  <c r="J257" i="34"/>
  <c r="J255" i="34"/>
  <c r="J249" i="34"/>
  <c r="J251" i="34" s="1"/>
  <c r="J246" i="34"/>
  <c r="E241" i="34"/>
  <c r="J238" i="34"/>
  <c r="J224" i="34"/>
  <c r="J220" i="34"/>
  <c r="E211" i="34"/>
  <c r="E207" i="34"/>
  <c r="E203" i="34"/>
  <c r="E199" i="34"/>
  <c r="G197" i="34"/>
  <c r="D197" i="34"/>
  <c r="G193" i="34"/>
  <c r="D193" i="34"/>
  <c r="E188" i="34"/>
  <c r="C187" i="34"/>
  <c r="J185" i="34"/>
  <c r="C184" i="34"/>
  <c r="E181" i="34"/>
  <c r="J180" i="34"/>
  <c r="D179" i="34"/>
  <c r="G178" i="34"/>
  <c r="G176" i="34"/>
  <c r="G177" i="34" s="1"/>
  <c r="J173" i="34"/>
  <c r="E165" i="34"/>
  <c r="J162" i="34"/>
  <c r="E131" i="34"/>
  <c r="E134" i="34" s="1"/>
  <c r="E136" i="34" s="1"/>
  <c r="E126" i="34"/>
  <c r="J125" i="34"/>
  <c r="G122" i="34"/>
  <c r="J116" i="34"/>
  <c r="E112" i="34"/>
  <c r="E111" i="34"/>
  <c r="C111" i="34"/>
  <c r="E110" i="34"/>
  <c r="C110" i="34"/>
  <c r="E109" i="34"/>
  <c r="E108" i="34"/>
  <c r="E113" i="34" s="1"/>
  <c r="E105" i="34"/>
  <c r="G104" i="34"/>
  <c r="C104" i="34"/>
  <c r="C112" i="34" s="1"/>
  <c r="G103" i="34"/>
  <c r="C103" i="34"/>
  <c r="H102" i="34"/>
  <c r="G102" i="34"/>
  <c r="C102" i="34"/>
  <c r="G101" i="34"/>
  <c r="G128" i="34" s="1"/>
  <c r="C101" i="34"/>
  <c r="C109" i="34" s="1"/>
  <c r="H100" i="34"/>
  <c r="G100" i="34"/>
  <c r="G119" i="34" s="1"/>
  <c r="G196" i="34" s="1"/>
  <c r="C100" i="34"/>
  <c r="C108" i="34" s="1"/>
  <c r="E97" i="34"/>
  <c r="E85" i="34"/>
  <c r="J82" i="34"/>
  <c r="J51" i="34"/>
  <c r="J50" i="34"/>
  <c r="J39" i="34"/>
  <c r="J25" i="34"/>
  <c r="J24" i="34"/>
  <c r="G18" i="34"/>
  <c r="G19" i="34" s="1"/>
  <c r="G17" i="34"/>
  <c r="E17" i="34"/>
  <c r="E16" i="34"/>
  <c r="H93" i="34" l="1"/>
  <c r="F266" i="34"/>
  <c r="H266" i="34" s="1"/>
  <c r="H269" i="34" s="1"/>
  <c r="J269" i="34" s="1"/>
  <c r="H16" i="34"/>
  <c r="J260" i="34"/>
  <c r="J261" i="34" s="1"/>
  <c r="J290" i="34"/>
  <c r="J293" i="34" s="1"/>
  <c r="F290" i="34"/>
  <c r="F292" i="34"/>
  <c r="J292" i="34" s="1"/>
  <c r="F291" i="34"/>
  <c r="J291" i="34" s="1"/>
  <c r="E204" i="34" l="1"/>
  <c r="E214" i="34"/>
  <c r="H101" i="34"/>
  <c r="J93" i="34"/>
  <c r="H132" i="34"/>
  <c r="J132" i="34" s="1"/>
  <c r="H172" i="34"/>
  <c r="J16" i="34"/>
  <c r="H17" i="34"/>
  <c r="J274" i="34"/>
  <c r="L274" i="34" s="1"/>
  <c r="H96" i="34" s="1"/>
  <c r="H95" i="34"/>
  <c r="J17" i="34" l="1"/>
  <c r="H18" i="34"/>
  <c r="E210" i="34"/>
  <c r="E212" i="34" s="1"/>
  <c r="H128" i="34"/>
  <c r="J101" i="34"/>
  <c r="J95" i="34"/>
  <c r="H103" i="34"/>
  <c r="H178" i="34"/>
  <c r="J178" i="34" s="1"/>
  <c r="H174" i="34"/>
  <c r="J174" i="34" s="1"/>
  <c r="J172" i="34"/>
  <c r="E217" i="34"/>
  <c r="E225" i="34" s="1"/>
  <c r="H104" i="34"/>
  <c r="J96" i="34"/>
  <c r="J20" i="34" l="1"/>
  <c r="H179" i="34"/>
  <c r="J104" i="34"/>
  <c r="J112" i="34" s="1"/>
  <c r="H184" i="34"/>
  <c r="J184" i="34" s="1"/>
  <c r="J128" i="34"/>
  <c r="J109" i="34"/>
  <c r="H175" i="34"/>
  <c r="J103" i="34"/>
  <c r="J97" i="34"/>
  <c r="H97" i="34" s="1"/>
  <c r="J111" i="34"/>
  <c r="J18" i="34"/>
  <c r="H19" i="34"/>
  <c r="J19" i="34" s="1"/>
  <c r="H186" i="34" l="1"/>
  <c r="J175" i="34"/>
  <c r="H176" i="34"/>
  <c r="J113" i="34"/>
  <c r="H113" i="34" s="1"/>
  <c r="J179" i="34"/>
  <c r="H187" i="34"/>
  <c r="J187" i="34" s="1"/>
  <c r="H195" i="34"/>
  <c r="H133" i="34"/>
  <c r="J133" i="34" s="1"/>
  <c r="J105" i="34"/>
  <c r="H198" i="34" l="1"/>
  <c r="J198" i="34" s="1"/>
  <c r="H197" i="34"/>
  <c r="J197" i="34" s="1"/>
  <c r="J195" i="34"/>
  <c r="H120" i="34"/>
  <c r="H211" i="34"/>
  <c r="J211" i="34" s="1"/>
  <c r="H177" i="34"/>
  <c r="J177" i="34" s="1"/>
  <c r="J176" i="34"/>
  <c r="J181" i="34" s="1"/>
  <c r="J131" i="34" s="1"/>
  <c r="J134" i="34" s="1"/>
  <c r="H192" i="34"/>
  <c r="J186" i="34"/>
  <c r="J188" i="34" s="1"/>
  <c r="J192" i="34" l="1"/>
  <c r="J199" i="34" s="1"/>
  <c r="H193" i="34"/>
  <c r="J193" i="34" s="1"/>
  <c r="J120" i="34"/>
  <c r="H121" i="34"/>
  <c r="H122" i="34" l="1"/>
  <c r="J122" i="34" s="1"/>
  <c r="J126" i="34" s="1"/>
  <c r="J136" i="34" s="1"/>
  <c r="J214" i="34" s="1"/>
  <c r="H123" i="34"/>
  <c r="J123" i="34" s="1"/>
  <c r="J121" i="34"/>
  <c r="J210" i="34" l="1"/>
  <c r="J212" i="34" s="1"/>
  <c r="J217" i="34" s="1"/>
  <c r="J225" i="34" s="1"/>
  <c r="J12" i="34" s="1"/>
  <c r="J28" i="34" s="1"/>
  <c r="E41" i="34" s="1"/>
  <c r="E47" i="34" l="1"/>
  <c r="J47" i="34"/>
  <c r="J48" i="34"/>
  <c r="J46" i="34"/>
  <c r="E48" i="34"/>
  <c r="E46" i="34"/>
  <c r="E42" i="34"/>
  <c r="E20" i="31" l="1"/>
  <c r="E17" i="31"/>
  <c r="C17" i="31"/>
  <c r="C20" i="31" s="1"/>
  <c r="C17" i="33" l="1"/>
  <c r="D16" i="33"/>
  <c r="D15" i="33"/>
  <c r="D14" i="33"/>
  <c r="D17" i="33" s="1"/>
  <c r="H29" i="33" s="1"/>
  <c r="G11" i="28" l="1"/>
  <c r="G10" i="28"/>
  <c r="G9" i="28"/>
  <c r="G8" i="28"/>
  <c r="E14" i="32" l="1"/>
  <c r="E16" i="32" s="1"/>
  <c r="E20" i="32" s="1"/>
  <c r="E9" i="32"/>
  <c r="E19" i="32" s="1"/>
  <c r="E21" i="32" s="1"/>
  <c r="E25" i="32" l="1"/>
  <c r="E27" i="32" s="1"/>
  <c r="A7" i="13" l="1"/>
  <c r="E7" i="13" l="1"/>
  <c r="E9" i="13" s="1"/>
  <c r="J19" i="18" l="1"/>
  <c r="F9" i="12"/>
  <c r="F11" i="12" l="1"/>
  <c r="E20" i="13" l="1"/>
  <c r="E10" i="13" s="1"/>
  <c r="E11" i="13" s="1"/>
  <c r="K21" i="22" l="1"/>
  <c r="C24" i="22"/>
  <c r="C23" i="22"/>
  <c r="B24" i="22"/>
  <c r="B23" i="22"/>
  <c r="F13" i="12" l="1"/>
  <c r="F18" i="12" s="1"/>
  <c r="E10" i="10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C10" i="10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I16" i="28" l="1"/>
  <c r="I15" i="28" s="1"/>
  <c r="G10" i="6" l="1"/>
  <c r="A11" i="5" l="1"/>
  <c r="A31" i="5" s="1"/>
  <c r="A49" i="5" s="1"/>
  <c r="A12" i="5"/>
  <c r="A13" i="5"/>
  <c r="A14" i="5"/>
  <c r="A15" i="5"/>
  <c r="A16" i="5"/>
  <c r="A17" i="5"/>
  <c r="A18" i="5"/>
  <c r="A38" i="5" s="1"/>
  <c r="A56" i="5" s="1"/>
  <c r="A19" i="5"/>
  <c r="A20" i="5"/>
  <c r="A21" i="5"/>
  <c r="A41" i="5" s="1"/>
  <c r="A59" i="5" s="1"/>
  <c r="A22" i="5"/>
  <c r="A10" i="5"/>
  <c r="A30" i="5" s="1"/>
  <c r="A48" i="5" s="1"/>
  <c r="A34" i="5" l="1"/>
  <c r="A52" i="5" s="1"/>
  <c r="A39" i="5"/>
  <c r="A57" i="5" s="1"/>
  <c r="A42" i="5"/>
  <c r="A60" i="5" s="1"/>
  <c r="A37" i="5"/>
  <c r="A55" i="5" s="1"/>
  <c r="A33" i="5"/>
  <c r="A51" i="5" s="1"/>
  <c r="A35" i="5"/>
  <c r="A53" i="5" s="1"/>
  <c r="A40" i="5"/>
  <c r="A58" i="5" s="1"/>
  <c r="A36" i="5"/>
  <c r="A54" i="5" s="1"/>
  <c r="A32" i="5"/>
  <c r="A50" i="5" s="1"/>
  <c r="I37" i="4"/>
  <c r="E24" i="14" l="1"/>
  <c r="K14" i="26" l="1"/>
  <c r="K13" i="26"/>
  <c r="K12" i="26"/>
  <c r="A41" i="4"/>
  <c r="A59" i="4" s="1"/>
  <c r="A40" i="4"/>
  <c r="A58" i="4" s="1"/>
  <c r="A39" i="4"/>
  <c r="A57" i="4" s="1"/>
  <c r="A38" i="4"/>
  <c r="A56" i="4" s="1"/>
  <c r="A37" i="4"/>
  <c r="A55" i="4" s="1"/>
  <c r="A36" i="4"/>
  <c r="A54" i="4" s="1"/>
  <c r="A35" i="4"/>
  <c r="A53" i="4" s="1"/>
  <c r="A34" i="4"/>
  <c r="A52" i="4" s="1"/>
  <c r="A33" i="4"/>
  <c r="A51" i="4" s="1"/>
  <c r="A32" i="4"/>
  <c r="A50" i="4" s="1"/>
  <c r="A31" i="4"/>
  <c r="A49" i="4" s="1"/>
  <c r="A30" i="4"/>
  <c r="A48" i="4" s="1"/>
  <c r="A29" i="4"/>
  <c r="A47" i="4" s="1"/>
  <c r="E20" i="29" l="1"/>
  <c r="E15" i="31" l="1"/>
  <c r="E22" i="31" s="1"/>
  <c r="E12" i="29" l="1"/>
  <c r="E11" i="29"/>
  <c r="A4" i="29"/>
  <c r="A4" i="31" s="1"/>
  <c r="M58" i="5" l="1"/>
  <c r="M57" i="5"/>
  <c r="M50" i="5"/>
  <c r="M51" i="4"/>
  <c r="G53" i="5"/>
  <c r="M60" i="5"/>
  <c r="G60" i="5"/>
  <c r="M59" i="5"/>
  <c r="G59" i="5"/>
  <c r="G58" i="5"/>
  <c r="G57" i="5"/>
  <c r="M56" i="5"/>
  <c r="G56" i="5"/>
  <c r="M55" i="5"/>
  <c r="G55" i="5"/>
  <c r="M54" i="5"/>
  <c r="G54" i="5"/>
  <c r="M53" i="5"/>
  <c r="M52" i="5"/>
  <c r="G52" i="5"/>
  <c r="M51" i="5"/>
  <c r="G51" i="5"/>
  <c r="G50" i="5"/>
  <c r="M49" i="5"/>
  <c r="G49" i="5"/>
  <c r="M48" i="5"/>
  <c r="G48" i="5"/>
  <c r="G56" i="4"/>
  <c r="G49" i="4"/>
  <c r="M59" i="4"/>
  <c r="G59" i="4"/>
  <c r="M58" i="4"/>
  <c r="G58" i="4"/>
  <c r="M57" i="4"/>
  <c r="G57" i="4"/>
  <c r="M56" i="4"/>
  <c r="M55" i="4"/>
  <c r="G55" i="4"/>
  <c r="M54" i="4"/>
  <c r="G54" i="4"/>
  <c r="M53" i="4"/>
  <c r="G53" i="4"/>
  <c r="M52" i="4"/>
  <c r="G52" i="4"/>
  <c r="G51" i="4"/>
  <c r="M50" i="4"/>
  <c r="G50" i="4"/>
  <c r="M49" i="4"/>
  <c r="M48" i="4"/>
  <c r="G48" i="4"/>
  <c r="M47" i="4"/>
  <c r="G47" i="4"/>
  <c r="E22" i="16" l="1"/>
  <c r="G22" i="16" l="1"/>
  <c r="C18" i="22" l="1"/>
  <c r="G12" i="19"/>
  <c r="E12" i="19"/>
  <c r="M31" i="4"/>
  <c r="M32" i="4"/>
  <c r="M33" i="4"/>
  <c r="M34" i="4"/>
  <c r="M35" i="4"/>
  <c r="M36" i="4"/>
  <c r="M37" i="4"/>
  <c r="M39" i="4"/>
  <c r="M40" i="4"/>
  <c r="M41" i="4"/>
  <c r="M29" i="4"/>
  <c r="G30" i="4"/>
  <c r="G31" i="4"/>
  <c r="G33" i="4"/>
  <c r="G34" i="4"/>
  <c r="G35" i="4"/>
  <c r="G36" i="4"/>
  <c r="G37" i="4"/>
  <c r="G38" i="4"/>
  <c r="G40" i="4"/>
  <c r="G41" i="4"/>
  <c r="G41" i="5"/>
  <c r="G40" i="5"/>
  <c r="G38" i="5"/>
  <c r="G37" i="5"/>
  <c r="M34" i="5"/>
  <c r="M31" i="5"/>
  <c r="G42" i="5"/>
  <c r="M42" i="5"/>
  <c r="M41" i="5"/>
  <c r="M40" i="5"/>
  <c r="G39" i="5"/>
  <c r="M39" i="5"/>
  <c r="M38" i="5"/>
  <c r="M37" i="5"/>
  <c r="G36" i="5"/>
  <c r="M36" i="5"/>
  <c r="G35" i="5"/>
  <c r="M35" i="5"/>
  <c r="G34" i="5"/>
  <c r="G33" i="5"/>
  <c r="M33" i="5"/>
  <c r="G32" i="5"/>
  <c r="M32" i="5"/>
  <c r="G31" i="5"/>
  <c r="G30" i="5"/>
  <c r="M30" i="5"/>
  <c r="E10" i="29"/>
  <c r="G39" i="4"/>
  <c r="M38" i="4"/>
  <c r="G32" i="4"/>
  <c r="E14" i="29" l="1"/>
  <c r="E13" i="29"/>
  <c r="E15" i="29" l="1"/>
  <c r="E22" i="29" s="1"/>
  <c r="M30" i="4" l="1"/>
  <c r="G29" i="4"/>
  <c r="G12" i="28"/>
  <c r="C25" i="27" l="1"/>
  <c r="C30" i="27"/>
  <c r="C36" i="27"/>
  <c r="C41" i="27"/>
  <c r="C47" i="27"/>
  <c r="C54" i="27"/>
  <c r="C57" i="27" l="1"/>
  <c r="K11" i="26"/>
  <c r="K10" i="26"/>
  <c r="K9" i="26"/>
  <c r="A4" i="26"/>
  <c r="C20" i="25" l="1"/>
  <c r="E31" i="14" l="1"/>
  <c r="E22" i="14"/>
  <c r="E26" i="14" s="1"/>
  <c r="G24" i="14" l="1"/>
  <c r="G22" i="14"/>
  <c r="G26" i="14" s="1"/>
  <c r="E23" i="23" l="1"/>
  <c r="C23" i="23"/>
  <c r="M24" i="23"/>
  <c r="K24" i="23"/>
  <c r="I24" i="23"/>
  <c r="G24" i="23"/>
  <c r="G14" i="22" l="1"/>
  <c r="E14" i="22"/>
  <c r="I11" i="22"/>
  <c r="I12" i="22"/>
  <c r="I13" i="22"/>
  <c r="I10" i="22"/>
  <c r="K11" i="22" l="1"/>
  <c r="I14" i="22"/>
  <c r="K12" i="22" l="1"/>
  <c r="I11" i="28"/>
  <c r="I10" i="28"/>
  <c r="I8" i="28"/>
  <c r="I9" i="28"/>
  <c r="K13" i="22"/>
  <c r="K10" i="22"/>
  <c r="G28" i="16"/>
  <c r="G10" i="10"/>
  <c r="G11" i="10"/>
  <c r="G12" i="10"/>
  <c r="G13" i="10"/>
  <c r="G14" i="10"/>
  <c r="G15" i="10"/>
  <c r="G16" i="10"/>
  <c r="G17" i="10"/>
  <c r="G18" i="10"/>
  <c r="G19" i="10"/>
  <c r="G20" i="10"/>
  <c r="G21" i="10"/>
  <c r="G9" i="10"/>
  <c r="J15" i="20" l="1"/>
  <c r="J14" i="18"/>
  <c r="K24" i="22"/>
  <c r="J12" i="18"/>
  <c r="K23" i="22"/>
  <c r="K14" i="22"/>
  <c r="I12" i="28"/>
  <c r="C29" i="10"/>
  <c r="C30" i="10"/>
  <c r="C31" i="10"/>
  <c r="C32" i="10"/>
  <c r="C33" i="10"/>
  <c r="C34" i="10"/>
  <c r="C35" i="10"/>
  <c r="C36" i="10"/>
  <c r="C37" i="10"/>
  <c r="C38" i="10"/>
  <c r="C39" i="10"/>
  <c r="C40" i="10"/>
  <c r="C28" i="10"/>
  <c r="K25" i="22" l="1"/>
  <c r="I28" i="10"/>
  <c r="I38" i="10"/>
  <c r="I30" i="10"/>
  <c r="I37" i="10"/>
  <c r="I39" i="10"/>
  <c r="I35" i="10"/>
  <c r="I31" i="10"/>
  <c r="I34" i="10"/>
  <c r="I33" i="10"/>
  <c r="I29" i="10"/>
  <c r="I40" i="10"/>
  <c r="I36" i="10"/>
  <c r="I32" i="10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I41" i="10" l="1"/>
  <c r="I19" i="10" s="1"/>
  <c r="K44" i="9"/>
  <c r="G8" i="9" s="1"/>
  <c r="G9" i="9" s="1"/>
  <c r="I20" i="10" l="1"/>
  <c r="I17" i="10"/>
  <c r="I14" i="10"/>
  <c r="I16" i="10"/>
  <c r="I13" i="10"/>
  <c r="I10" i="10"/>
  <c r="I12" i="10"/>
  <c r="I11" i="10"/>
  <c r="I21" i="10"/>
  <c r="I9" i="10"/>
  <c r="I18" i="10"/>
  <c r="I15" i="10"/>
  <c r="C22" i="9"/>
  <c r="C18" i="9"/>
  <c r="C14" i="9"/>
  <c r="C25" i="9"/>
  <c r="C21" i="9"/>
  <c r="C17" i="9"/>
  <c r="C13" i="9"/>
  <c r="C24" i="9"/>
  <c r="C20" i="9"/>
  <c r="C16" i="9"/>
  <c r="C23" i="9"/>
  <c r="C19" i="9"/>
  <c r="C15" i="9"/>
  <c r="I22" i="10" l="1"/>
  <c r="A4" i="20" l="1"/>
  <c r="A4" i="23" s="1"/>
  <c r="I12" i="19"/>
  <c r="A4" i="19"/>
  <c r="J15" i="18" l="1"/>
  <c r="A4" i="18" l="1"/>
  <c r="A4" i="17" l="1"/>
  <c r="A4" i="16"/>
  <c r="G19" i="15"/>
  <c r="G21" i="15" l="1"/>
  <c r="E19" i="15"/>
  <c r="E13" i="15"/>
  <c r="A4" i="15"/>
  <c r="A4" i="14"/>
  <c r="A4" i="13"/>
  <c r="E16" i="16" l="1"/>
  <c r="E14" i="17"/>
  <c r="E21" i="15"/>
  <c r="A4" i="12" l="1"/>
  <c r="A4" i="22" s="1"/>
  <c r="A4" i="28" s="1"/>
  <c r="A4" i="10"/>
  <c r="E44" i="9"/>
  <c r="C44" i="9"/>
  <c r="A4" i="9"/>
  <c r="C11" i="6"/>
  <c r="G11" i="6" s="1"/>
  <c r="A4" i="6"/>
  <c r="K23" i="5"/>
  <c r="C23" i="5"/>
  <c r="A4" i="5"/>
  <c r="E23" i="4"/>
  <c r="A4" i="4"/>
  <c r="A4" i="1"/>
  <c r="C12" i="6" l="1"/>
  <c r="G12" i="6" s="1"/>
  <c r="G44" i="9"/>
  <c r="I23" i="5"/>
  <c r="M11" i="5"/>
  <c r="M15" i="5"/>
  <c r="M17" i="5"/>
  <c r="M19" i="5"/>
  <c r="E23" i="5"/>
  <c r="M13" i="5"/>
  <c r="M21" i="5"/>
  <c r="M10" i="5"/>
  <c r="M12" i="5"/>
  <c r="M14" i="5"/>
  <c r="M16" i="5"/>
  <c r="M18" i="5"/>
  <c r="M20" i="5"/>
  <c r="M22" i="5"/>
  <c r="K23" i="4"/>
  <c r="C23" i="4"/>
  <c r="M13" i="4"/>
  <c r="M17" i="4"/>
  <c r="M21" i="4"/>
  <c r="I23" i="4"/>
  <c r="M16" i="4"/>
  <c r="M11" i="4"/>
  <c r="M15" i="4"/>
  <c r="M19" i="4"/>
  <c r="G23" i="5"/>
  <c r="M18" i="4"/>
  <c r="M12" i="4"/>
  <c r="M20" i="4"/>
  <c r="M10" i="4"/>
  <c r="G23" i="4"/>
  <c r="M14" i="4"/>
  <c r="M22" i="4"/>
  <c r="M23" i="4" l="1"/>
  <c r="E22" i="9"/>
  <c r="C13" i="6"/>
  <c r="G13" i="6" s="1"/>
  <c r="E25" i="9"/>
  <c r="E24" i="9"/>
  <c r="E19" i="9"/>
  <c r="E21" i="9"/>
  <c r="E20" i="9"/>
  <c r="E15" i="9"/>
  <c r="E18" i="9"/>
  <c r="E17" i="9"/>
  <c r="E16" i="9"/>
  <c r="E14" i="9"/>
  <c r="E13" i="9"/>
  <c r="E23" i="9"/>
  <c r="M23" i="5"/>
  <c r="C14" i="6" l="1"/>
  <c r="G14" i="6" s="1"/>
  <c r="E26" i="9"/>
  <c r="C15" i="6" l="1"/>
  <c r="G15" i="6" s="1"/>
  <c r="C20" i="1"/>
  <c r="C16" i="6" l="1"/>
  <c r="G16" i="6" s="1"/>
  <c r="C17" i="6" l="1"/>
  <c r="G17" i="6" s="1"/>
  <c r="C18" i="6" l="1"/>
  <c r="G18" i="6" s="1"/>
  <c r="C19" i="6" l="1"/>
  <c r="G19" i="6" s="1"/>
  <c r="C20" i="6" l="1"/>
  <c r="G20" i="6" s="1"/>
  <c r="C21" i="6" l="1"/>
  <c r="G21" i="6" s="1"/>
  <c r="C22" i="6" l="1"/>
  <c r="G22" i="6" s="1"/>
  <c r="G24" i="6" l="1"/>
</calcChain>
</file>

<file path=xl/sharedStrings.xml><?xml version="1.0" encoding="utf-8"?>
<sst xmlns="http://schemas.openxmlformats.org/spreadsheetml/2006/main" count="1108" uniqueCount="638">
  <si>
    <t>Montana-Dakota Utilities Co.</t>
  </si>
  <si>
    <t>Integrated System Average 12 Month Peak</t>
  </si>
  <si>
    <t>MISO Attachment O Workpaper</t>
  </si>
  <si>
    <t>Projected 2015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</si>
  <si>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</si>
  <si>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</si>
  <si>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</si>
  <si>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</si>
  <si>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</si>
  <si>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</si>
  <si>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</si>
  <si>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</si>
  <si>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</si>
  <si>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</si>
  <si>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</si>
  <si>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Average</t>
  </si>
  <si>
    <t>Peak Demand</t>
  </si>
  <si>
    <t>Attachment O</t>
  </si>
  <si>
    <t>January 2015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</si>
  <si>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</si>
  <si>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</si>
  <si>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</si>
  <si>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</si>
  <si>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</si>
  <si>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</si>
  <si>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</si>
  <si>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</si>
  <si>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</si>
  <si>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</si>
  <si>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</si>
  <si>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CWIP - MVP Project</t>
  </si>
  <si>
    <t>Beginning</t>
  </si>
  <si>
    <t>Balance</t>
  </si>
  <si>
    <t>Projected</t>
  </si>
  <si>
    <t>CWIP</t>
  </si>
  <si>
    <t>Ending</t>
  </si>
  <si>
    <t>Average</t>
  </si>
  <si>
    <t>Note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</si>
  <si>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</si>
  <si>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</si>
  <si>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</si>
  <si>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</si>
  <si>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</si>
  <si>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</si>
  <si>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January 2014</t>
  </si>
  <si>
    <t>Transmission O&amp;M</t>
  </si>
  <si>
    <t>Allocation Factor</t>
  </si>
  <si>
    <t xml:space="preserve"> O&amp;M Expense 1/</t>
  </si>
  <si>
    <t>Prepayments</t>
  </si>
  <si>
    <t>A&amp;G</t>
  </si>
  <si>
    <t>Total Company</t>
  </si>
  <si>
    <t>FERC Annual Fees</t>
  </si>
  <si>
    <t>Regulatory Commission Expense - Integrated System</t>
  </si>
  <si>
    <t>Total Company - FERC Annual Fees</t>
  </si>
  <si>
    <t>Wyoming - FERC Annual Fees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</si>
  <si>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</si>
  <si>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</si>
  <si>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</si>
  <si>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</si>
  <si>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>3-Year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</si>
  <si>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</si>
  <si>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</si>
  <si>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</si>
  <si>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</si>
  <si>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</si>
  <si>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</si>
  <si>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</si>
  <si>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</si>
  <si>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</si>
  <si>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</si>
  <si>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Wages and Salary</t>
  </si>
  <si>
    <t>Other</t>
  </si>
  <si>
    <t>Wages &amp; Salary</t>
  </si>
  <si>
    <t>Transmissin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</si>
  <si>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</si>
  <si>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</si>
  <si>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</si>
  <si>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</si>
  <si>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</si>
  <si>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</si>
  <si>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</si>
  <si>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</si>
  <si>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</si>
  <si>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Projected 2013</t>
  </si>
  <si>
    <t>Projected 2014</t>
  </si>
  <si>
    <t>Actual 2013</t>
  </si>
  <si>
    <t>General &amp;</t>
  </si>
  <si>
    <t>Common &amp;</t>
  </si>
  <si>
    <t>Depreciation Expense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</si>
  <si>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</si>
  <si>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</si>
  <si>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</si>
  <si>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</si>
  <si>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</si>
  <si>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</si>
  <si>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</si>
  <si>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Electric</t>
  </si>
  <si>
    <t>Supplies</t>
  </si>
  <si>
    <t>% Integrated</t>
  </si>
  <si>
    <t>Projected 2014 Materials &amp; Supplies - Integrated System</t>
  </si>
  <si>
    <t>Insurance</t>
  </si>
  <si>
    <t>2013 Integrated System Factor</t>
  </si>
  <si>
    <t>Load Dispatching Account 561</t>
  </si>
  <si>
    <t>Acct 561</t>
  </si>
  <si>
    <t xml:space="preserve">  Total Account 561</t>
  </si>
  <si>
    <t>Capital Structure</t>
  </si>
  <si>
    <t>Long Term</t>
  </si>
  <si>
    <t>Interest</t>
  </si>
  <si>
    <t>Preferred</t>
  </si>
  <si>
    <t>Dividends</t>
  </si>
  <si>
    <t>Proprietary</t>
  </si>
  <si>
    <t>Capital</t>
  </si>
  <si>
    <t>Acct</t>
  </si>
  <si>
    <t>Debt</t>
  </si>
  <si>
    <t>Stock</t>
  </si>
  <si>
    <t xml:space="preserve">   13 Month Average</t>
  </si>
  <si>
    <t>Gross Receipts</t>
  </si>
  <si>
    <t>Franchise Taxes</t>
  </si>
  <si>
    <t>Revenue</t>
  </si>
  <si>
    <t>Franchise</t>
  </si>
  <si>
    <t>Allocation</t>
  </si>
  <si>
    <t>Revenue/Franchise Tax</t>
  </si>
  <si>
    <t>MISO Schedule 10 Costs</t>
  </si>
  <si>
    <t>System  1/</t>
  </si>
  <si>
    <t>% Integrated System</t>
  </si>
  <si>
    <t>MISO Schedule 11 Costs</t>
  </si>
  <si>
    <t>Total FERC Fees</t>
  </si>
  <si>
    <t xml:space="preserve"> </t>
  </si>
  <si>
    <t>Adjustments to Rate Base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</si>
  <si>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</si>
  <si>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</si>
  <si>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</si>
  <si>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</si>
  <si>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</si>
  <si>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</si>
  <si>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</si>
  <si>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</si>
  <si>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</si>
  <si>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</si>
  <si>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>Coyote Surge Pond Line</t>
  </si>
  <si>
    <t>Big Stone Plant Intake Line</t>
  </si>
  <si>
    <t>Towers &amp; Fixtures Function FERC 3540</t>
  </si>
  <si>
    <t>Coyote Aux. Power 115KV Tap Line</t>
  </si>
  <si>
    <t>Lewis &amp; Clark Switchyard</t>
  </si>
  <si>
    <t>Miles City Turbine</t>
  </si>
  <si>
    <t>Heskett Station</t>
  </si>
  <si>
    <t>Glendive Turbine Junction</t>
  </si>
  <si>
    <t>Production-Related Plant Removed from Transmission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</si>
  <si>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</si>
  <si>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</si>
  <si>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</si>
  <si>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</si>
  <si>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</si>
  <si>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</si>
  <si>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>Acct 561BA  1/</t>
  </si>
  <si>
    <t>1/  Payroll only.</t>
  </si>
  <si>
    <t xml:space="preserve">     Intangible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</si>
  <si>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</si>
  <si>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</si>
  <si>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</si>
  <si>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</si>
  <si>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</si>
  <si>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</si>
  <si>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</si>
  <si>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</si>
  <si>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</si>
  <si>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</si>
  <si>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</si>
  <si>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Revenue Credits</t>
  </si>
  <si>
    <t>Acct 454 Revenue from Electric Property</t>
  </si>
  <si>
    <t>Line 35</t>
  </si>
  <si>
    <t>Projected Transmission Charges for all Transmission Transactions</t>
  </si>
  <si>
    <t>Attachment GG Revenue Requirement</t>
  </si>
  <si>
    <t>Attachment MM Revenue Requirement</t>
  </si>
  <si>
    <t>Total Revenue Credits</t>
  </si>
  <si>
    <t>Montana-Dakota</t>
  </si>
  <si>
    <t>Great Plains</t>
  </si>
  <si>
    <t xml:space="preserve">  Total Gas Utility</t>
  </si>
  <si>
    <t>MISO Schedule 1 Revenues</t>
  </si>
  <si>
    <t>Short Term</t>
  </si>
  <si>
    <t>Projected 2016</t>
  </si>
  <si>
    <t>Actual 2014</t>
  </si>
  <si>
    <t>January  2016</t>
  </si>
  <si>
    <t>December 2015</t>
  </si>
  <si>
    <t>January 2016</t>
  </si>
  <si>
    <t>Projected 2016 Materials &amp; Supplies - Total Company</t>
  </si>
  <si>
    <t xml:space="preserve">   % Integrated System - 2014</t>
  </si>
  <si>
    <t>December 2013</t>
  </si>
  <si>
    <t>2016  1/</t>
  </si>
  <si>
    <t>August 2014</t>
  </si>
  <si>
    <t>1/  Allocated Wyoming based on 2014 Wyoming % of Total Company</t>
  </si>
  <si>
    <t>2014  1/</t>
  </si>
  <si>
    <t xml:space="preserve">   Total 2016</t>
  </si>
  <si>
    <t>Electric Plant in Service, Gas Plant in Service - Common</t>
  </si>
  <si>
    <t xml:space="preserve">Electric Accumulated Reserve for Depreciation, Gas Accumulated Reserve - Common </t>
  </si>
  <si>
    <t>Attachment O, Page 3, Line 1a:  LSE Expenses included in Transmission O&amp;M Accounts (Note V):</t>
  </si>
  <si>
    <t xml:space="preserve">1/  Increased by O&amp;M Growth Factor = </t>
  </si>
  <si>
    <t>2016  2/</t>
  </si>
  <si>
    <t>2/  Increased by O&amp;M Growth Factor:</t>
  </si>
  <si>
    <t>July 2014</t>
  </si>
  <si>
    <t>Less:  Projected Fuel &amp; PP</t>
  </si>
  <si>
    <t>Less:  Projected Schedules 26 and 26A</t>
  </si>
  <si>
    <t>Projected 2016 Total O&amp;M - Integrated System</t>
  </si>
  <si>
    <t xml:space="preserve">  Projected Transmission O&amp;M (excl 565)</t>
  </si>
  <si>
    <t xml:space="preserve">  Projected Acct 565 Transmission by Others</t>
  </si>
  <si>
    <t xml:space="preserve">  Projected Basin/WAPA - SPP</t>
  </si>
  <si>
    <t>Total Transmission O&amp;M - Projected 2016</t>
  </si>
  <si>
    <t>2014 Total O&amp;M - Integrated System</t>
  </si>
  <si>
    <t>Projected 2016 Transmission O&amp;M (excl Acct 565)</t>
  </si>
  <si>
    <t>2014 Transmission O&amp;M (excl 565)</t>
  </si>
  <si>
    <t>A&amp;G Allocation Factor  1/</t>
  </si>
  <si>
    <t>Projected 2016 A&amp;G</t>
  </si>
  <si>
    <t>1/  A&amp;G Allocation Factor:</t>
  </si>
  <si>
    <t xml:space="preserve">   2014 A&amp;G - Integrated System</t>
  </si>
  <si>
    <t>MISO Attachment O True-Up</t>
  </si>
  <si>
    <t>Twelve Months Ended December 31, 2014</t>
  </si>
  <si>
    <t>Annual Transmission Revenue Requirement (ATRR) True-Up</t>
  </si>
  <si>
    <t>Historic Year Actual ATRR</t>
  </si>
  <si>
    <t>Historic Year Projected ATRR</t>
  </si>
  <si>
    <t xml:space="preserve">    Overrecovery of Revenue Requirement</t>
  </si>
  <si>
    <t>Footnote FF:  Calculation of Prior Year Divisor True-Up</t>
  </si>
  <si>
    <t>Historic Year Actual Divisor</t>
  </si>
  <si>
    <t>Projected Year Divisor</t>
  </si>
  <si>
    <t>Difference between Historic Year &amp; Project Yr Divisor</t>
  </si>
  <si>
    <t>Prior Year Projected Annual Cost ($ per kw per yr.)</t>
  </si>
  <si>
    <t>Underrecovery of Divisor</t>
  </si>
  <si>
    <t>ATRR True-Up</t>
  </si>
  <si>
    <t>Divisor True-Up</t>
  </si>
  <si>
    <t>Total 2014 True-Up</t>
  </si>
  <si>
    <t>Interest on Historic Year True-Up   1/</t>
  </si>
  <si>
    <t>Average Monthly FERC Interest Rate on Refunds</t>
  </si>
  <si>
    <t>Interest for 24 Months</t>
  </si>
  <si>
    <t>Total True-Up</t>
  </si>
  <si>
    <t>MISO Attchment O</t>
  </si>
  <si>
    <t>2016 Projection</t>
  </si>
  <si>
    <t>SIT Calculation</t>
  </si>
  <si>
    <t>Supporting Workpaper</t>
  </si>
  <si>
    <t>Page 5 Note K - Federal and State Income Tax Rates</t>
  </si>
  <si>
    <t>Calculation of Composite State  Rate</t>
  </si>
  <si>
    <t>State Tax Rate</t>
  </si>
  <si>
    <t>Allocation %</t>
  </si>
  <si>
    <t>South Dakota</t>
  </si>
  <si>
    <t>North Dakota</t>
  </si>
  <si>
    <t>Montana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</si>
  <si>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</si>
  <si>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</si>
  <si>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</si>
  <si>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</si>
  <si>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</si>
  <si>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</si>
  <si>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</si>
  <si>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</si>
  <si>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</si>
  <si>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</si>
  <si>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</si>
  <si>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</si>
  <si>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</si>
  <si>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Line 36</t>
  </si>
  <si>
    <t>Line 37</t>
  </si>
  <si>
    <t>Submitted August 31, 2015</t>
  </si>
  <si>
    <t>1/  Average FERC refund interest rate through July 2015.</t>
  </si>
  <si>
    <t>Transmission Allocation Factor</t>
  </si>
  <si>
    <t>Facility</t>
  </si>
  <si>
    <t xml:space="preserve">ER15-358 - TEMPLATE LANGUAGE ACCEPTED EFFECTIVE JANUARY 6, 2015 SUBJECT TO REFUND AND OUTCOME OF COMPLAINT PROCEEDINGS </t>
  </si>
  <si>
    <t>page 1 of 5</t>
  </si>
  <si>
    <t xml:space="preserve">Formula Rate - Non-Levelized </t>
  </si>
  <si>
    <t xml:space="preserve">     Rate Formula Template</t>
  </si>
  <si>
    <t>For the 12 months ended 12/31/16</t>
  </si>
  <si>
    <t xml:space="preserve"> Utilizing FERC Form 1 Data</t>
  </si>
  <si>
    <t>Line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</si>
  <si>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</si>
  <si>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</si>
  <si>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</si>
  <si>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</si>
  <si>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</si>
  <si>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</si>
  <si>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</si>
  <si>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</si>
  <si>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</si>
  <si>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</si>
  <si>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</si>
  <si>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</si>
  <si>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</si>
  <si>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</si>
  <si>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</si>
  <si>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</si>
  <si>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</si>
  <si>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</si>
  <si>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</si>
  <si>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</si>
  <si>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</si>
  <si>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</si>
  <si>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</si>
  <si>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</si>
  <si>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</si>
  <si>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</si>
  <si>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</si>
  <si>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</si>
  <si>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</si>
  <si>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</si>
  <si>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</si>
  <si>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</si>
  <si>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</si>
  <si>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</si>
  <si>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</si>
  <si>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</si>
  <si>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</si>
  <si>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</si>
  <si>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</si>
  <si>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</si>
  <si>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</si>
  <si>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</si>
  <si>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</si>
  <si>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</si>
  <si>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</si>
  <si>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</si>
  <si>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</si>
  <si>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</si>
  <si>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</si>
  <si>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</si>
  <si>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</si>
  <si>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</si>
  <si>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</si>
  <si>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</si>
  <si>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</si>
  <si>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</si>
  <si>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</si>
  <si>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</si>
  <si>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</si>
  <si>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</si>
  <si>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</si>
  <si>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</si>
  <si>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</si>
  <si>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Form No. 1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</si>
  <si>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</si>
  <si>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</si>
  <si>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</si>
  <si>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</si>
  <si>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</si>
  <si>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</si>
  <si>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</si>
  <si>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</si>
  <si>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</si>
  <si>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</si>
  <si>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</si>
  <si>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</si>
  <si>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</si>
  <si>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</si>
  <si>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</si>
  <si>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</si>
  <si>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</si>
  <si>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</si>
  <si>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</si>
  <si>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</si>
  <si>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</si>
  <si>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</si>
  <si>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</si>
  <si>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</si>
  <si>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</si>
  <si>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</si>
  <si>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</si>
  <si>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</si>
  <si>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</si>
  <si>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</si>
  <si>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</si>
  <si>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</si>
  <si>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</si>
  <si>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</si>
  <si>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</si>
  <si>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</si>
  <si>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</si>
  <si>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</si>
  <si>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</si>
  <si>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</si>
  <si>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</si>
  <si>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</si>
  <si>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</si>
  <si>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</si>
  <si>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</si>
  <si>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</si>
  <si>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</si>
  <si>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</si>
  <si>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</si>
  <si>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</si>
  <si>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>234.8.c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</si>
  <si>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</si>
  <si>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</si>
  <si>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</si>
  <si>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</si>
  <si>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</si>
  <si>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</si>
  <si>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</si>
  <si>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</si>
  <si>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</si>
  <si>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</si>
  <si>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</si>
  <si>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</si>
  <si>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</si>
  <si>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</si>
  <si>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</si>
  <si>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</si>
  <si>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</si>
  <si>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</si>
  <si>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</si>
  <si>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</si>
  <si>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</si>
  <si>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</si>
  <si>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</si>
  <si>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</si>
  <si>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</si>
  <si>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</si>
  <si>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</si>
  <si>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</si>
  <si>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</si>
  <si>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</si>
  <si>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</si>
  <si>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</si>
  <si>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</si>
  <si>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</si>
  <si>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</si>
  <si>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</si>
  <si>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</si>
  <si>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</si>
  <si>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</si>
  <si>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</si>
  <si>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</si>
  <si>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</si>
  <si>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</si>
  <si>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</si>
  <si>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</si>
  <si>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</si>
  <si>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</si>
  <si>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</si>
  <si>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</si>
  <si>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</si>
  <si>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</si>
  <si>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</si>
  <si>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</si>
  <si>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</si>
  <si>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</si>
  <si>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</si>
  <si>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</si>
  <si>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</si>
  <si>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</si>
  <si>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</si>
  <si>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</si>
  <si>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</si>
  <si>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</si>
  <si>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</si>
  <si>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</si>
  <si>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</si>
  <si>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</si>
  <si>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</si>
  <si>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</si>
  <si>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</si>
  <si>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</si>
  <si>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</si>
  <si>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</si>
  <si>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</si>
  <si>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</si>
  <si>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</si>
  <si>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</si>
  <si>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</si>
  <si>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</si>
  <si>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</si>
  <si>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</si>
  <si>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</si>
  <si>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</si>
  <si>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</si>
  <si>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</si>
  <si>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</si>
  <si>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</si>
  <si>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</si>
  <si>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</si>
  <si>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</si>
  <si>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</si>
  <si>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</si>
  <si>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</si>
  <si>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</si>
  <si>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</si>
  <si>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</si>
  <si>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</si>
  <si>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</si>
  <si>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</si>
  <si>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</si>
  <si>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</si>
  <si>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</si>
  <si>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</si>
  <si>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</si>
  <si>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</si>
  <si>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</si>
  <si>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</si>
  <si>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</si>
  <si>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</si>
  <si>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</si>
  <si>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</si>
  <si>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</si>
  <si>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</si>
  <si>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</si>
  <si>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</si>
  <si>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</si>
  <si>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</si>
  <si>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</si>
  <si>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</si>
  <si>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</si>
  <si>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</si>
  <si>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</si>
  <si>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</si>
  <si>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</si>
  <si>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</si>
  <si>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</si>
  <si>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</si>
  <si>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</si>
  <si>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</si>
  <si>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</si>
  <si>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</si>
  <si>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</si>
  <si>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</si>
  <si>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</si>
  <si>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</si>
  <si>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</si>
  <si>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</si>
  <si>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</si>
  <si>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</si>
  <si>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</si>
  <si>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</si>
  <si>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</si>
  <si>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</si>
  <si>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</si>
  <si>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</si>
  <si>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</si>
  <si>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</si>
  <si>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</si>
  <si>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</si>
  <si>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</si>
  <si>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</si>
  <si>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</si>
  <si>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</si>
  <si>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</si>
  <si>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</si>
  <si>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</si>
  <si>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</si>
  <si>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</si>
  <si>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</si>
  <si>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</si>
  <si>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</si>
  <si>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</si>
  <si>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</si>
  <si>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</si>
  <si>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</si>
  <si>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</si>
  <si>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</si>
  <si>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</si>
  <si>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</si>
  <si>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</si>
  <si>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</si>
  <si>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</si>
  <si>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</si>
  <si>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</si>
  <si>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</si>
  <si>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</si>
  <si>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</si>
  <si>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</si>
  <si>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</si>
  <si>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</si>
  <si>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</si>
  <si>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</si>
  <si>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</si>
  <si>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</si>
  <si>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</si>
  <si>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</si>
  <si>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</si>
  <si>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</si>
  <si>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</si>
  <si>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</si>
  <si>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</si>
  <si>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</si>
  <si>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</si>
  <si>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</si>
  <si>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</si>
  <si>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</si>
  <si>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</si>
  <si>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</si>
  <si>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</si>
  <si>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</si>
  <si>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</si>
  <si>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</si>
  <si>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</si>
  <si>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</si>
  <si>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</si>
  <si>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r>
      <t xml:space="preserve">  a filing with FERC.  </t>
    </r>
    <r>
      <rPr>
        <sz val="12"/>
        <color rgb="FFFF0000"/>
        <rFont val="Times New Roman"/>
        <family val="1"/>
      </rPr>
      <t xml:space="preserve">A 50 basis point adder for RTO participation may be added to the ROE up to the upper end of the zone of reasonableness established by FERC. </t>
    </r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</si>
  <si>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</si>
  <si>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</si>
  <si>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</si>
  <si>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</si>
  <si>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</si>
  <si>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</si>
  <si>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</si>
  <si>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</si>
  <si>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</si>
  <si>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</si>
  <si>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</si>
  <si>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</si>
  <si>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</si>
  <si>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</si>
  <si>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</si>
  <si>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</si>
  <si>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</si>
  <si>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</si>
  <si>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</si>
  <si>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</si>
  <si>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</si>
  <si>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</si>
  <si>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</si>
  <si>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</si>
  <si>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</si>
  <si>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</si>
  <si>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</si>
  <si>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</si>
  <si>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</si>
  <si>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</si>
  <si>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</si>
  <si>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</si>
  <si>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</si>
  <si>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</si>
  <si>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</si>
  <si>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</si>
  <si>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</si>
  <si>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</si>
  <si>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</si>
  <si>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</si>
  <si>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</si>
  <si>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</si>
  <si>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</si>
  <si>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</si>
  <si>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</si>
  <si>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</si>
  <si>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 xml:space="preserve"> (excl Fuel and Accts 565 and 575)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</si>
</sst>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_);[Red]\(#,##0.000\)"/>
    <numFmt numFmtId="166" formatCode="&quot;$&quot;#,##0.00"/>
    <numFmt numFmtId="167" formatCode="0.0000%"/>
    <numFmt numFmtId="168" formatCode="&quot;$&quot;#,##0.000_);[Red]\(&quot;$&quot;#,##0.000\)"/>
    <numFmt numFmtId="169" formatCode="0.000000%"/>
    <numFmt numFmtId="170" formatCode="0.00000"/>
    <numFmt numFmtId="171" formatCode="#,##0.000"/>
    <numFmt numFmtId="172" formatCode="&quot;$&quot;#,##0.000"/>
    <numFmt numFmtId="173" formatCode="#,##0.00000"/>
    <numFmt numFmtId="174" formatCode="#,##0.0"/>
    <numFmt numFmtId="175" formatCode="0.0000"/>
    <numFmt numFmtId="176" formatCode="#,##0.0000"/>
    <numFmt numFmtId="177" formatCode="_(&quot;$&quot;* #,##0_);_(&quot;$&quot;* \(#,##0\);_(&quot;$&quot;* &quot;-&quot;??_);_(@_)"/>
    <numFmt numFmtId="178" formatCode="_(* #,##0_);_(* \(#,##0\);_(* &quot;-&quot;??_);_(@_)"/>
    <numFmt numFmtId="179" formatCode="&quot;$&quot;#,##0"/>
    <numFmt numFmtId="180" formatCode="#,##0.000_);\(#,##0.000\)"/>
  </numFmts>
  <fonts count="2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6" fontId="7" fillId="0" borderId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/>
    <xf numFmtId="37" fontId="8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Protection="0"/>
  </cellStyleXfs>
  <cellXfs count="359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2" fillId="2" borderId="0" xfId="0" applyFont="1" applyFill="1" applyBorder="1" applyAlignment="1">
      <alignment horizontal="center"/>
    </xf>
    <xf numFmtId="38" fontId="0" fillId="0" borderId="0" xfId="0" applyNumberFormat="1" applyBorder="1"/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1" applyFont="1" applyAlignment="1">
      <alignment horizontal="centerContinuous"/>
    </xf>
    <xf numFmtId="38" fontId="1" fillId="0" borderId="0" xfId="1" applyNumberFormat="1" applyFont="1"/>
    <xf numFmtId="0" fontId="0" fillId="0" borderId="0" xfId="1" applyFont="1"/>
    <xf numFmtId="6" fontId="0" fillId="0" borderId="2" xfId="0" applyNumberFormat="1" applyBorder="1"/>
    <xf numFmtId="0" fontId="0" fillId="0" borderId="1" xfId="0" applyBorder="1" applyAlignment="1">
      <alignment horizontal="centerContinuous"/>
    </xf>
    <xf numFmtId="0" fontId="2" fillId="0" borderId="0" xfId="0" applyFont="1"/>
    <xf numFmtId="0" fontId="0" fillId="0" borderId="0" xfId="0" applyFont="1" applyAlignment="1">
      <alignment horizontal="left"/>
    </xf>
    <xf numFmtId="38" fontId="0" fillId="0" borderId="5" xfId="0" applyNumberFormat="1" applyBorder="1"/>
    <xf numFmtId="0" fontId="5" fillId="0" borderId="0" xfId="0" applyFont="1"/>
    <xf numFmtId="0" fontId="0" fillId="2" borderId="0" xfId="0" applyFill="1" applyBorder="1"/>
    <xf numFmtId="38" fontId="0" fillId="2" borderId="0" xfId="0" applyNumberFormat="1" applyFill="1" applyBorder="1"/>
    <xf numFmtId="38" fontId="0" fillId="2" borderId="0" xfId="0" applyNumberFormat="1" applyFill="1"/>
    <xf numFmtId="0" fontId="5" fillId="0" borderId="0" xfId="6"/>
    <xf numFmtId="8" fontId="5" fillId="0" borderId="5" xfId="6" applyNumberFormat="1" applyFill="1" applyBorder="1"/>
    <xf numFmtId="0" fontId="5" fillId="0" borderId="0" xfId="6" applyFont="1" applyFill="1"/>
    <xf numFmtId="43" fontId="5" fillId="0" borderId="0" xfId="2" applyFont="1" applyFill="1"/>
    <xf numFmtId="40" fontId="5" fillId="0" borderId="2" xfId="6" applyNumberFormat="1" applyFill="1" applyBorder="1"/>
    <xf numFmtId="0" fontId="5" fillId="0" borderId="0" xfId="6" applyFill="1"/>
    <xf numFmtId="43" fontId="5" fillId="0" borderId="2" xfId="2" applyFont="1" applyFill="1" applyBorder="1"/>
    <xf numFmtId="0" fontId="5" fillId="0" borderId="0" xfId="6" quotePrefix="1" applyFill="1" applyAlignment="1">
      <alignment horizontal="left"/>
    </xf>
    <xf numFmtId="0" fontId="5" fillId="0" borderId="1" xfId="6" applyFill="1" applyBorder="1" applyAlignment="1">
      <alignment horizontal="centerContinuous"/>
    </xf>
    <xf numFmtId="0" fontId="5" fillId="0" borderId="0" xfId="6" applyFill="1" applyBorder="1" applyAlignment="1">
      <alignment horizontal="center"/>
    </xf>
    <xf numFmtId="7" fontId="5" fillId="0" borderId="0" xfId="4" applyNumberFormat="1" applyFont="1" applyFill="1"/>
    <xf numFmtId="0" fontId="5" fillId="0" borderId="0" xfId="1" applyFont="1"/>
    <xf numFmtId="0" fontId="5" fillId="0" borderId="0" xfId="6" applyFont="1"/>
    <xf numFmtId="40" fontId="5" fillId="0" borderId="0" xfId="6" applyNumberFormat="1" applyFont="1" applyFill="1"/>
    <xf numFmtId="43" fontId="5" fillId="0" borderId="1" xfId="2" applyFont="1" applyFill="1" applyBorder="1"/>
    <xf numFmtId="40" fontId="5" fillId="0" borderId="2" xfId="6" applyNumberFormat="1" applyFont="1" applyFill="1" applyBorder="1"/>
    <xf numFmtId="40" fontId="5" fillId="0" borderId="0" xfId="1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Continuous"/>
    </xf>
    <xf numFmtId="0" fontId="0" fillId="0" borderId="0" xfId="0"/>
    <xf numFmtId="0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0" fillId="0" borderId="6" xfId="0" applyBorder="1"/>
    <xf numFmtId="6" fontId="0" fillId="2" borderId="0" xfId="0" applyNumberFormat="1" applyFill="1"/>
    <xf numFmtId="0" fontId="0" fillId="0" borderId="6" xfId="0" quotePrefix="1" applyBorder="1"/>
    <xf numFmtId="38" fontId="0" fillId="0" borderId="6" xfId="0" applyNumberFormat="1" applyBorder="1"/>
    <xf numFmtId="0" fontId="0" fillId="0" borderId="7" xfId="0" quotePrefix="1" applyBorder="1"/>
    <xf numFmtId="0" fontId="0" fillId="0" borderId="7" xfId="0" applyBorder="1"/>
    <xf numFmtId="38" fontId="0" fillId="0" borderId="7" xfId="0" applyNumberFormat="1" applyBorder="1"/>
    <xf numFmtId="0" fontId="0" fillId="0" borderId="0" xfId="0" quotePrefix="1" applyBorder="1"/>
    <xf numFmtId="40" fontId="0" fillId="0" borderId="0" xfId="0" applyNumberFormat="1" applyBorder="1"/>
    <xf numFmtId="38" fontId="0" fillId="2" borderId="4" xfId="0" applyNumberFormat="1" applyFill="1" applyBorder="1"/>
    <xf numFmtId="165" fontId="5" fillId="0" borderId="0" xfId="0" applyNumberFormat="1" applyFont="1" applyAlignment="1">
      <alignment horizontal="left"/>
    </xf>
    <xf numFmtId="38" fontId="0" fillId="2" borderId="5" xfId="0" applyNumberFormat="1" applyFill="1" applyBorder="1"/>
    <xf numFmtId="167" fontId="0" fillId="0" borderId="0" xfId="0" applyNumberFormat="1"/>
    <xf numFmtId="165" fontId="0" fillId="0" borderId="0" xfId="0" applyNumberFormat="1" applyAlignment="1">
      <alignment horizontal="right"/>
    </xf>
    <xf numFmtId="38" fontId="1" fillId="0" borderId="0" xfId="1" applyNumberFormat="1" applyFont="1" applyAlignment="1">
      <alignment horizontal="centerContinuous"/>
    </xf>
    <xf numFmtId="6" fontId="1" fillId="2" borderId="0" xfId="1" applyNumberFormat="1" applyFont="1" applyFill="1"/>
    <xf numFmtId="38" fontId="1" fillId="0" borderId="4" xfId="1" applyNumberFormat="1" applyFont="1" applyBorder="1"/>
    <xf numFmtId="168" fontId="1" fillId="0" borderId="0" xfId="1" applyNumberFormat="1" applyFont="1"/>
    <xf numFmtId="10" fontId="1" fillId="0" borderId="0" xfId="1" applyNumberFormat="1" applyFont="1"/>
    <xf numFmtId="6" fontId="1" fillId="0" borderId="5" xfId="1" applyNumberFormat="1" applyFont="1" applyBorder="1"/>
    <xf numFmtId="38" fontId="0" fillId="2" borderId="1" xfId="0" applyNumberFormat="1" applyFill="1" applyBorder="1"/>
    <xf numFmtId="166" fontId="9" fillId="0" borderId="0" xfId="12" applyFont="1" applyAlignment="1">
      <alignment horizontal="center"/>
    </xf>
    <xf numFmtId="166" fontId="9" fillId="0" borderId="0" xfId="12" applyFont="1" applyAlignment="1">
      <alignment horizontal="centerContinuous" vertical="center" wrapText="1"/>
    </xf>
    <xf numFmtId="166" fontId="9" fillId="0" borderId="0" xfId="12" applyFont="1" applyAlignment="1">
      <alignment horizontal="centerContinuous"/>
    </xf>
    <xf numFmtId="166" fontId="9" fillId="0" borderId="0" xfId="12" applyFont="1" applyAlignment="1">
      <alignment horizontal="centerContinuous" vertical="center"/>
    </xf>
    <xf numFmtId="166" fontId="9" fillId="0" borderId="0" xfId="12" quotePrefix="1" applyFont="1" applyBorder="1" applyAlignment="1">
      <alignment horizontal="center"/>
    </xf>
    <xf numFmtId="0" fontId="10" fillId="0" borderId="0" xfId="12" applyNumberFormat="1" applyFont="1" applyAlignment="1" applyProtection="1">
      <alignment horizontal="center"/>
      <protection locked="0"/>
    </xf>
    <xf numFmtId="0" fontId="10" fillId="0" borderId="0" xfId="12" applyNumberFormat="1" applyFont="1" applyFill="1" applyProtection="1">
      <protection locked="0"/>
    </xf>
    <xf numFmtId="0" fontId="11" fillId="0" borderId="0" xfId="12" applyNumberFormat="1" applyFont="1" applyFill="1" applyProtection="1">
      <protection locked="0"/>
    </xf>
    <xf numFmtId="0" fontId="12" fillId="0" borderId="0" xfId="12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/>
    <xf numFmtId="0" fontId="7" fillId="0" borderId="0" xfId="12" applyNumberFormat="1" applyFont="1"/>
    <xf numFmtId="166" fontId="7" fillId="0" borderId="0" xfId="12" applyFont="1" applyAlignment="1"/>
    <xf numFmtId="0" fontId="10" fillId="0" borderId="0" xfId="12" applyNumberFormat="1" applyFont="1" applyFill="1" applyAlignment="1" applyProtection="1">
      <alignment horizontal="right"/>
      <protection locked="0"/>
    </xf>
    <xf numFmtId="10" fontId="10" fillId="4" borderId="0" xfId="12" applyNumberFormat="1" applyFont="1" applyFill="1" applyProtection="1">
      <protection locked="0"/>
    </xf>
    <xf numFmtId="166" fontId="9" fillId="0" borderId="0" xfId="12" quotePrefix="1" applyFont="1" applyAlignment="1">
      <alignment horizontal="center"/>
    </xf>
    <xf numFmtId="166" fontId="7" fillId="0" borderId="0" xfId="12" applyFont="1" applyBorder="1" applyAlignment="1"/>
    <xf numFmtId="166" fontId="7" fillId="0" borderId="0" xfId="12" quotePrefix="1" applyFont="1" applyBorder="1" applyAlignment="1">
      <alignment horizontal="center"/>
    </xf>
    <xf numFmtId="10" fontId="7" fillId="0" borderId="0" xfId="12" applyNumberFormat="1" applyFont="1" applyAlignment="1"/>
    <xf numFmtId="169" fontId="7" fillId="0" borderId="0" xfId="12" applyNumberFormat="1" applyFont="1" applyAlignment="1"/>
    <xf numFmtId="169" fontId="7" fillId="0" borderId="0" xfId="12" applyNumberFormat="1" applyFont="1" applyBorder="1" applyAlignment="1"/>
    <xf numFmtId="169" fontId="7" fillId="0" borderId="1" xfId="12" applyNumberFormat="1" applyFont="1" applyBorder="1" applyAlignment="1"/>
    <xf numFmtId="0" fontId="13" fillId="0" borderId="0" xfId="12" applyNumberFormat="1" applyFont="1" applyFill="1" applyAlignment="1" applyProtection="1">
      <alignment horizontal="left"/>
      <protection locked="0"/>
    </xf>
    <xf numFmtId="0" fontId="0" fillId="2" borderId="0" xfId="0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6" fontId="0" fillId="2" borderId="0" xfId="0" applyNumberFormat="1" applyFill="1" applyBorder="1"/>
    <xf numFmtId="38" fontId="0" fillId="2" borderId="2" xfId="0" applyNumberFormat="1" applyFill="1" applyBorder="1"/>
    <xf numFmtId="0" fontId="0" fillId="2" borderId="1" xfId="0" applyFill="1" applyBorder="1" applyAlignment="1">
      <alignment horizontal="centerContinuous"/>
    </xf>
    <xf numFmtId="0" fontId="0" fillId="2" borderId="0" xfId="0" quotePrefix="1" applyFill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40" fontId="0" fillId="2" borderId="1" xfId="0" applyNumberFormat="1" applyFill="1" applyBorder="1" applyAlignment="1">
      <alignment horizontal="centerContinuous"/>
    </xf>
    <xf numFmtId="40" fontId="0" fillId="2" borderId="1" xfId="0" applyNumberFormat="1" applyFill="1" applyBorder="1" applyAlignment="1">
      <alignment horizontal="center"/>
    </xf>
    <xf numFmtId="6" fontId="0" fillId="2" borderId="0" xfId="0" applyNumberFormat="1" applyFill="1" applyAlignment="1">
      <alignment horizontal="right"/>
    </xf>
    <xf numFmtId="40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/>
    <xf numFmtId="40" fontId="0" fillId="2" borderId="0" xfId="0" applyNumberFormat="1" applyFill="1"/>
    <xf numFmtId="0" fontId="0" fillId="2" borderId="0" xfId="0" applyFill="1" applyAlignment="1">
      <alignment horizontal="left"/>
    </xf>
    <xf numFmtId="49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/>
    <xf numFmtId="49" fontId="0" fillId="2" borderId="0" xfId="0" applyNumberFormat="1" applyFill="1" applyBorder="1" applyAlignment="1">
      <alignment horizontal="center"/>
    </xf>
    <xf numFmtId="166" fontId="14" fillId="0" borderId="0" xfId="1" applyNumberFormat="1" applyFont="1" applyAlignment="1"/>
    <xf numFmtId="0" fontId="14" fillId="0" borderId="0" xfId="1" applyNumberFormat="1" applyFont="1" applyAlignment="1" applyProtection="1">
      <protection locked="0"/>
    </xf>
    <xf numFmtId="0" fontId="14" fillId="0" borderId="0" xfId="1" applyNumberFormat="1" applyFont="1" applyAlignment="1" applyProtection="1">
      <alignment horizontal="left"/>
      <protection locked="0"/>
    </xf>
    <xf numFmtId="0" fontId="14" fillId="0" borderId="0" xfId="1" applyNumberFormat="1" applyFont="1" applyProtection="1">
      <protection locked="0"/>
    </xf>
    <xf numFmtId="0" fontId="14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14" fillId="0" borderId="0" xfId="1" applyNumberFormat="1" applyFont="1" applyAlignment="1">
      <alignment horizontal="right"/>
    </xf>
    <xf numFmtId="0" fontId="14" fillId="0" borderId="0" xfId="1" applyNumberFormat="1" applyFont="1"/>
    <xf numFmtId="0" fontId="14" fillId="0" borderId="0" xfId="1" applyNumberFormat="1" applyFont="1" applyFill="1" applyAlignment="1">
      <alignment horizontal="right"/>
    </xf>
    <xf numFmtId="0" fontId="14" fillId="0" borderId="0" xfId="1" applyNumberFormat="1" applyFont="1" applyFill="1"/>
    <xf numFmtId="0" fontId="14" fillId="4" borderId="0" xfId="1" applyNumberFormat="1" applyFont="1" applyFill="1" applyProtection="1">
      <protection locked="0"/>
    </xf>
    <xf numFmtId="0" fontId="14" fillId="4" borderId="0" xfId="1" applyNumberFormat="1" applyFont="1" applyFill="1"/>
    <xf numFmtId="3" fontId="14" fillId="0" borderId="0" xfId="1" applyNumberFormat="1" applyFont="1" applyAlignment="1"/>
    <xf numFmtId="0" fontId="14" fillId="0" borderId="0" xfId="1" applyNumberFormat="1" applyFont="1" applyAlignment="1" applyProtection="1">
      <alignment horizontal="center"/>
      <protection locked="0"/>
    </xf>
    <xf numFmtId="49" fontId="16" fillId="3" borderId="0" xfId="1" applyNumberFormat="1" applyFont="1" applyFill="1"/>
    <xf numFmtId="0" fontId="14" fillId="3" borderId="0" xfId="1" applyNumberFormat="1" applyFont="1" applyFill="1"/>
    <xf numFmtId="49" fontId="14" fillId="0" borderId="0" xfId="1" applyNumberFormat="1" applyFont="1"/>
    <xf numFmtId="0" fontId="14" fillId="0" borderId="14" xfId="1" applyNumberFormat="1" applyFont="1" applyBorder="1" applyAlignment="1" applyProtection="1">
      <alignment horizontal="center"/>
      <protection locked="0"/>
    </xf>
    <xf numFmtId="3" fontId="14" fillId="0" borderId="0" xfId="1" applyNumberFormat="1" applyFont="1"/>
    <xf numFmtId="42" fontId="14" fillId="0" borderId="0" xfId="1" applyNumberFormat="1" applyFont="1"/>
    <xf numFmtId="0" fontId="14" fillId="0" borderId="0" xfId="1" applyNumberFormat="1" applyFont="1" applyAlignment="1"/>
    <xf numFmtId="3" fontId="14" fillId="0" borderId="0" xfId="1" applyNumberFormat="1" applyFont="1" applyFill="1" applyAlignment="1"/>
    <xf numFmtId="0" fontId="14" fillId="0" borderId="14" xfId="1" applyNumberFormat="1" applyFont="1" applyBorder="1" applyAlignment="1" applyProtection="1">
      <alignment horizontal="centerContinuous"/>
      <protection locked="0"/>
    </xf>
    <xf numFmtId="170" fontId="14" fillId="0" borderId="0" xfId="1" applyNumberFormat="1" applyFont="1" applyAlignment="1"/>
    <xf numFmtId="3" fontId="14" fillId="0" borderId="0" xfId="1" applyNumberFormat="1" applyFont="1" applyFill="1" applyBorder="1"/>
    <xf numFmtId="3" fontId="14" fillId="4" borderId="0" xfId="1" applyNumberFormat="1" applyFont="1" applyFill="1" applyAlignment="1"/>
    <xf numFmtId="0" fontId="17" fillId="0" borderId="0" xfId="1" applyNumberFormat="1" applyFont="1"/>
    <xf numFmtId="166" fontId="7" fillId="0" borderId="0" xfId="1" applyNumberFormat="1" applyFont="1" applyAlignment="1"/>
    <xf numFmtId="3" fontId="14" fillId="0" borderId="14" xfId="1" applyNumberFormat="1" applyFont="1" applyBorder="1" applyAlignment="1"/>
    <xf numFmtId="3" fontId="14" fillId="0" borderId="0" xfId="1" applyNumberFormat="1" applyFont="1" applyAlignment="1">
      <alignment horizontal="fill"/>
    </xf>
    <xf numFmtId="0" fontId="7" fillId="0" borderId="0" xfId="1" applyNumberFormat="1" applyFont="1"/>
    <xf numFmtId="0" fontId="14" fillId="0" borderId="0" xfId="20" applyNumberFormat="1" applyFont="1" applyFill="1" applyAlignment="1" applyProtection="1">
      <alignment horizontal="center"/>
      <protection locked="0"/>
    </xf>
    <xf numFmtId="166" fontId="14" fillId="0" borderId="0" xfId="20" applyFont="1" applyFill="1" applyAlignment="1"/>
    <xf numFmtId="0" fontId="14" fillId="0" borderId="0" xfId="20" applyNumberFormat="1" applyFont="1" applyFill="1"/>
    <xf numFmtId="3" fontId="14" fillId="0" borderId="0" xfId="20" applyNumberFormat="1" applyFont="1" applyFill="1" applyAlignment="1"/>
    <xf numFmtId="170" fontId="14" fillId="0" borderId="0" xfId="20" applyNumberFormat="1" applyFont="1" applyFill="1" applyAlignment="1"/>
    <xf numFmtId="37" fontId="14" fillId="4" borderId="0" xfId="20" applyNumberFormat="1" applyFont="1" applyFill="1" applyBorder="1" applyAlignment="1"/>
    <xf numFmtId="37" fontId="14" fillId="4" borderId="14" xfId="20" applyNumberFormat="1" applyFont="1" applyFill="1" applyBorder="1" applyAlignment="1"/>
    <xf numFmtId="37" fontId="14" fillId="0" borderId="0" xfId="20" applyNumberFormat="1" applyFont="1" applyFill="1" applyBorder="1" applyAlignment="1"/>
    <xf numFmtId="0" fontId="7" fillId="0" borderId="0" xfId="1" applyNumberFormat="1" applyFont="1" applyBorder="1"/>
    <xf numFmtId="166" fontId="7" fillId="0" borderId="0" xfId="1" applyNumberFormat="1" applyFont="1" applyBorder="1" applyAlignment="1"/>
    <xf numFmtId="0" fontId="14" fillId="0" borderId="0" xfId="1" applyNumberFormat="1" applyFont="1" applyBorder="1" applyAlignment="1" applyProtection="1">
      <alignment horizontal="centerContinuous"/>
      <protection locked="0"/>
    </xf>
    <xf numFmtId="14" fontId="14" fillId="0" borderId="0" xfId="1" applyNumberFormat="1" applyFont="1" applyBorder="1" applyAlignment="1">
      <alignment horizontal="center"/>
    </xf>
    <xf numFmtId="0" fontId="14" fillId="0" borderId="0" xfId="20" quotePrefix="1" applyNumberFormat="1" applyFont="1" applyFill="1"/>
    <xf numFmtId="42" fontId="14" fillId="0" borderId="5" xfId="1" applyNumberFormat="1" applyFont="1" applyBorder="1" applyAlignment="1" applyProtection="1">
      <alignment horizontal="right"/>
      <protection locked="0"/>
    </xf>
    <xf numFmtId="42" fontId="14" fillId="0" borderId="0" xfId="1" applyNumberFormat="1" applyFont="1" applyBorder="1" applyAlignment="1" applyProtection="1">
      <alignment horizontal="right"/>
      <protection locked="0"/>
    </xf>
    <xf numFmtId="0" fontId="14" fillId="0" borderId="0" xfId="1" applyNumberFormat="1" applyFont="1" applyBorder="1"/>
    <xf numFmtId="166" fontId="14" fillId="0" borderId="0" xfId="1" applyNumberFormat="1" applyFont="1" applyBorder="1" applyAlignment="1"/>
    <xf numFmtId="3" fontId="18" fillId="0" borderId="0" xfId="1" applyNumberFormat="1" applyFont="1"/>
    <xf numFmtId="0" fontId="14" fillId="0" borderId="0" xfId="1" applyNumberFormat="1" applyFont="1" applyFill="1" applyProtection="1">
      <protection locked="0"/>
    </xf>
    <xf numFmtId="3" fontId="14" fillId="4" borderId="0" xfId="1" applyNumberFormat="1" applyFont="1" applyFill="1"/>
    <xf numFmtId="166" fontId="17" fillId="0" borderId="0" xfId="1" applyNumberFormat="1" applyFont="1" applyAlignment="1"/>
    <xf numFmtId="0" fontId="18" fillId="0" borderId="0" xfId="1" applyNumberFormat="1" applyFont="1"/>
    <xf numFmtId="3" fontId="14" fillId="4" borderId="0" xfId="1" applyNumberFormat="1" applyFont="1" applyFill="1" applyBorder="1"/>
    <xf numFmtId="3" fontId="14" fillId="4" borderId="14" xfId="1" applyNumberFormat="1" applyFont="1" applyFill="1" applyBorder="1"/>
    <xf numFmtId="171" fontId="14" fillId="0" borderId="0" xfId="1" applyNumberFormat="1" applyFont="1"/>
    <xf numFmtId="171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4" fillId="0" borderId="0" xfId="1" applyNumberFormat="1" applyFont="1" applyAlignment="1">
      <alignment horizontal="left"/>
    </xf>
    <xf numFmtId="172" fontId="14" fillId="0" borderId="0" xfId="1" applyNumberFormat="1" applyFont="1" applyAlignment="1"/>
    <xf numFmtId="0" fontId="14" fillId="0" borderId="0" xfId="1" applyNumberFormat="1" applyFont="1" applyFill="1" applyAlignment="1">
      <alignment horizontal="left"/>
    </xf>
    <xf numFmtId="171" fontId="14" fillId="0" borderId="0" xfId="1" applyNumberFormat="1" applyFont="1" applyFill="1"/>
    <xf numFmtId="172" fontId="14" fillId="4" borderId="0" xfId="1" applyNumberFormat="1" applyFont="1" applyFill="1" applyProtection="1">
      <protection locked="0"/>
    </xf>
    <xf numFmtId="172" fontId="14" fillId="0" borderId="0" xfId="1" applyNumberFormat="1" applyFont="1" applyProtection="1">
      <protection locked="0"/>
    </xf>
    <xf numFmtId="0" fontId="14" fillId="0" borderId="0" xfId="1" applyNumberFormat="1" applyFont="1" applyFill="1" applyAlignment="1" applyProtection="1">
      <alignment horizontal="center"/>
      <protection locked="0"/>
    </xf>
    <xf numFmtId="166" fontId="14" fillId="0" borderId="0" xfId="1" applyNumberFormat="1" applyFont="1" applyFill="1" applyAlignment="1"/>
    <xf numFmtId="0" fontId="14" fillId="0" borderId="0" xfId="1" applyNumberFormat="1" applyFont="1" applyFill="1" applyAlignment="1"/>
    <xf numFmtId="172" fontId="14" fillId="0" borderId="0" xfId="1" applyNumberFormat="1" applyFont="1" applyFill="1" applyProtection="1">
      <protection locked="0"/>
    </xf>
    <xf numFmtId="0" fontId="14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center"/>
    </xf>
    <xf numFmtId="0" fontId="14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0" fontId="16" fillId="0" borderId="0" xfId="1" applyNumberFormat="1" applyFont="1" applyAlignment="1" applyProtection="1">
      <alignment horizontal="center"/>
      <protection locked="0"/>
    </xf>
    <xf numFmtId="166" fontId="16" fillId="0" borderId="0" xfId="1" applyNumberFormat="1" applyFont="1" applyAlignment="1">
      <alignment horizontal="center"/>
    </xf>
    <xf numFmtId="3" fontId="16" fillId="0" borderId="0" xfId="1" applyNumberFormat="1" applyFont="1" applyAlignment="1"/>
    <xf numFmtId="0" fontId="16" fillId="0" borderId="0" xfId="1" applyNumberFormat="1" applyFont="1" applyAlignment="1"/>
    <xf numFmtId="3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0" fontId="14" fillId="0" borderId="0" xfId="20" applyNumberFormat="1" applyFont="1" applyFill="1" applyAlignment="1"/>
    <xf numFmtId="3" fontId="18" fillId="0" borderId="0" xfId="1" applyNumberFormat="1" applyFont="1" applyAlignment="1">
      <alignment horizontal="center"/>
    </xf>
    <xf numFmtId="173" fontId="14" fillId="0" borderId="0" xfId="1" applyNumberFormat="1" applyFont="1" applyAlignment="1"/>
    <xf numFmtId="3" fontId="14" fillId="0" borderId="0" xfId="1" applyNumberFormat="1" applyFont="1" applyBorder="1" applyAlignment="1"/>
    <xf numFmtId="3" fontId="14" fillId="4" borderId="14" xfId="1" applyNumberFormat="1" applyFont="1" applyFill="1" applyBorder="1" applyAlignment="1"/>
    <xf numFmtId="164" fontId="14" fillId="0" borderId="0" xfId="1" applyNumberFormat="1" applyFont="1" applyAlignment="1">
      <alignment horizontal="center"/>
    </xf>
    <xf numFmtId="3" fontId="14" fillId="4" borderId="0" xfId="20" applyNumberFormat="1" applyFont="1" applyFill="1" applyAlignment="1"/>
    <xf numFmtId="37" fontId="14" fillId="4" borderId="0" xfId="1" applyNumberFormat="1" applyFont="1" applyFill="1" applyAlignment="1"/>
    <xf numFmtId="173" fontId="14" fillId="0" borderId="0" xfId="1" applyNumberFormat="1" applyFont="1" applyFill="1" applyAlignment="1">
      <alignment horizontal="right"/>
    </xf>
    <xf numFmtId="37" fontId="14" fillId="0" borderId="0" xfId="1" applyNumberFormat="1" applyFont="1" applyAlignment="1"/>
    <xf numFmtId="37" fontId="14" fillId="4" borderId="0" xfId="1" applyNumberFormat="1" applyFont="1" applyFill="1" applyBorder="1" applyAlignment="1"/>
    <xf numFmtId="37" fontId="14" fillId="0" borderId="0" xfId="1" applyNumberFormat="1" applyFont="1" applyBorder="1" applyAlignment="1"/>
    <xf numFmtId="37" fontId="14" fillId="4" borderId="1" xfId="1" applyNumberFormat="1" applyFont="1" applyFill="1" applyBorder="1" applyAlignment="1"/>
    <xf numFmtId="37" fontId="14" fillId="0" borderId="1" xfId="1" applyNumberFormat="1" applyFont="1" applyBorder="1" applyAlignment="1"/>
    <xf numFmtId="0" fontId="14" fillId="0" borderId="0" xfId="20" applyNumberFormat="1" applyFont="1" applyFill="1" applyAlignment="1" applyProtection="1">
      <protection locked="0"/>
    </xf>
    <xf numFmtId="166" fontId="14" fillId="0" borderId="14" xfId="1" applyNumberFormat="1" applyFont="1" applyBorder="1" applyAlignment="1"/>
    <xf numFmtId="0" fontId="14" fillId="0" borderId="0" xfId="20" applyNumberFormat="1" applyFont="1" applyAlignment="1"/>
    <xf numFmtId="3" fontId="14" fillId="0" borderId="5" xfId="1" applyNumberFormat="1" applyFont="1" applyBorder="1" applyAlignment="1"/>
    <xf numFmtId="164" fontId="14" fillId="0" borderId="0" xfId="1" applyNumberFormat="1" applyFont="1" applyFill="1" applyAlignment="1">
      <alignment horizontal="center"/>
    </xf>
    <xf numFmtId="0" fontId="16" fillId="0" borderId="0" xfId="1" applyNumberFormat="1" applyFont="1" applyFill="1" applyAlignment="1" applyProtection="1">
      <alignment horizontal="center"/>
      <protection locked="0"/>
    </xf>
    <xf numFmtId="0" fontId="19" fillId="0" borderId="0" xfId="1" applyNumberFormat="1" applyFont="1" applyAlignment="1">
      <alignment horizontal="center"/>
    </xf>
    <xf numFmtId="3" fontId="19" fillId="0" borderId="0" xfId="1" applyNumberFormat="1" applyFont="1" applyAlignment="1"/>
    <xf numFmtId="0" fontId="16" fillId="0" borderId="0" xfId="1" applyNumberFormat="1" applyFont="1" applyAlignment="1">
      <alignment horizontal="center"/>
    </xf>
    <xf numFmtId="3" fontId="20" fillId="0" borderId="0" xfId="1" applyNumberFormat="1" applyFont="1" applyAlignment="1"/>
    <xf numFmtId="174" fontId="14" fillId="0" borderId="0" xfId="1" applyNumberFormat="1" applyFont="1" applyFill="1" applyAlignment="1">
      <alignment horizontal="left"/>
    </xf>
    <xf numFmtId="173" fontId="14" fillId="0" borderId="0" xfId="1" applyNumberFormat="1" applyFont="1" applyFill="1" applyAlignment="1"/>
    <xf numFmtId="0" fontId="14" fillId="0" borderId="0" xfId="20" applyNumberFormat="1" applyFont="1" applyAlignment="1" applyProtection="1">
      <alignment horizontal="center"/>
      <protection locked="0"/>
    </xf>
    <xf numFmtId="166" fontId="14" fillId="0" borderId="0" xfId="20" applyFont="1" applyAlignment="1"/>
    <xf numFmtId="3" fontId="14" fillId="0" borderId="0" xfId="20" applyNumberFormat="1" applyFont="1" applyAlignment="1"/>
    <xf numFmtId="173" fontId="14" fillId="0" borderId="0" xfId="20" applyNumberFormat="1" applyFont="1" applyAlignment="1"/>
    <xf numFmtId="170" fontId="14" fillId="0" borderId="0" xfId="1" applyNumberFormat="1" applyFont="1" applyFill="1" applyAlignment="1">
      <alignment horizontal="right"/>
    </xf>
    <xf numFmtId="170" fontId="14" fillId="0" borderId="0" xfId="1" applyNumberFormat="1" applyFont="1" applyAlignment="1">
      <alignment horizontal="center"/>
    </xf>
    <xf numFmtId="164" fontId="14" fillId="0" borderId="0" xfId="1" applyNumberFormat="1" applyFont="1" applyAlignment="1">
      <alignment horizontal="left"/>
    </xf>
    <xf numFmtId="10" fontId="14" fillId="0" borderId="0" xfId="1" applyNumberFormat="1" applyFont="1" applyFill="1" applyAlignment="1">
      <alignment horizontal="right"/>
    </xf>
    <xf numFmtId="175" fontId="14" fillId="0" borderId="0" xfId="1" applyNumberFormat="1" applyFont="1" applyFill="1" applyAlignment="1">
      <alignment horizontal="right"/>
    </xf>
    <xf numFmtId="3" fontId="18" fillId="0" borderId="0" xfId="1" applyNumberFormat="1" applyFont="1" applyAlignment="1"/>
    <xf numFmtId="10" fontId="14" fillId="0" borderId="0" xfId="1" applyNumberFormat="1" applyFont="1" applyAlignment="1">
      <alignment horizontal="left"/>
    </xf>
    <xf numFmtId="37" fontId="14" fillId="0" borderId="14" xfId="1" applyNumberFormat="1" applyFont="1" applyBorder="1" applyAlignment="1"/>
    <xf numFmtId="164" fontId="14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 applyFill="1" applyAlignment="1">
      <alignment horizontal="right"/>
    </xf>
    <xf numFmtId="176" fontId="14" fillId="0" borderId="0" xfId="1" applyNumberFormat="1" applyFont="1" applyAlignment="1"/>
    <xf numFmtId="3" fontId="14" fillId="3" borderId="0" xfId="1" applyNumberFormat="1" applyFont="1" applyFill="1" applyBorder="1" applyAlignment="1"/>
    <xf numFmtId="3" fontId="14" fillId="3" borderId="0" xfId="1" applyNumberFormat="1" applyFont="1" applyFill="1" applyAlignment="1"/>
    <xf numFmtId="3" fontId="14" fillId="0" borderId="15" xfId="1" applyNumberFormat="1" applyFont="1" applyBorder="1" applyAlignment="1"/>
    <xf numFmtId="0" fontId="14" fillId="0" borderId="0" xfId="1" applyNumberFormat="1" applyFont="1" applyFill="1" applyAlignment="1" applyProtection="1">
      <protection locked="0"/>
    </xf>
    <xf numFmtId="0" fontId="14" fillId="0" borderId="14" xfId="1" applyNumberFormat="1" applyFont="1" applyFill="1" applyBorder="1" applyProtection="1">
      <protection locked="0"/>
    </xf>
    <xf numFmtId="0" fontId="14" fillId="0" borderId="14" xfId="1" applyNumberFormat="1" applyFont="1" applyFill="1" applyBorder="1"/>
    <xf numFmtId="3" fontId="14" fillId="0" borderId="14" xfId="1" applyNumberFormat="1" applyFont="1" applyFill="1" applyBorder="1" applyAlignment="1"/>
    <xf numFmtId="3" fontId="14" fillId="0" borderId="0" xfId="1" applyNumberFormat="1" applyFont="1" applyFill="1" applyAlignment="1">
      <alignment horizontal="center"/>
    </xf>
    <xf numFmtId="166" fontId="14" fillId="0" borderId="0" xfId="1" applyNumberFormat="1" applyFont="1" applyFill="1" applyBorder="1" applyAlignment="1"/>
    <xf numFmtId="49" fontId="14" fillId="0" borderId="0" xfId="1" applyNumberFormat="1" applyFont="1" applyFill="1"/>
    <xf numFmtId="49" fontId="14" fillId="0" borderId="0" xfId="1" applyNumberFormat="1" applyFont="1" applyFill="1" applyAlignment="1"/>
    <xf numFmtId="49" fontId="14" fillId="0" borderId="0" xfId="1" applyNumberFormat="1" applyFont="1" applyFill="1" applyAlignment="1">
      <alignment horizontal="center"/>
    </xf>
    <xf numFmtId="166" fontId="21" fillId="0" borderId="0" xfId="1" applyNumberFormat="1" applyFont="1" applyFill="1" applyBorder="1" applyAlignment="1"/>
    <xf numFmtId="0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166" fontId="3" fillId="0" borderId="0" xfId="1" applyNumberFormat="1" applyFill="1" applyBorder="1" applyAlignment="1"/>
    <xf numFmtId="166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177" fontId="0" fillId="0" borderId="0" xfId="18" applyNumberFormat="1" applyFont="1" applyFill="1" applyBorder="1" applyAlignment="1"/>
    <xf numFmtId="3" fontId="17" fillId="0" borderId="0" xfId="1" applyNumberFormat="1" applyFont="1" applyFill="1" applyBorder="1" applyAlignment="1"/>
    <xf numFmtId="178" fontId="0" fillId="0" borderId="0" xfId="19" applyNumberFormat="1" applyFont="1" applyFill="1" applyBorder="1" applyAlignment="1"/>
    <xf numFmtId="166" fontId="17" fillId="0" borderId="0" xfId="1" applyNumberFormat="1" applyFont="1" applyFill="1" applyBorder="1" applyAlignment="1"/>
    <xf numFmtId="166" fontId="22" fillId="0" borderId="0" xfId="1" applyNumberFormat="1" applyFont="1" applyFill="1" applyBorder="1" applyAlignment="1"/>
    <xf numFmtId="166" fontId="23" fillId="0" borderId="0" xfId="1" applyNumberFormat="1" applyFont="1" applyFill="1" applyBorder="1"/>
    <xf numFmtId="166" fontId="17" fillId="0" borderId="0" xfId="1" applyNumberFormat="1" applyFont="1" applyFill="1" applyBorder="1"/>
    <xf numFmtId="173" fontId="14" fillId="0" borderId="0" xfId="1" applyNumberFormat="1" applyFont="1" applyFill="1"/>
    <xf numFmtId="170" fontId="14" fillId="0" borderId="0" xfId="1" applyNumberFormat="1" applyFont="1" applyFill="1"/>
    <xf numFmtId="3" fontId="14" fillId="0" borderId="0" xfId="1" applyNumberFormat="1" applyFont="1" applyAlignment="1">
      <alignment horizontal="center"/>
    </xf>
    <xf numFmtId="166" fontId="17" fillId="0" borderId="0" xfId="1" applyNumberFormat="1" applyFont="1" applyFill="1" applyBorder="1" applyAlignment="1">
      <alignment horizontal="left" wrapText="1"/>
    </xf>
    <xf numFmtId="3" fontId="14" fillId="0" borderId="14" xfId="1" applyNumberFormat="1" applyFont="1" applyBorder="1" applyAlignment="1">
      <alignment horizontal="center"/>
    </xf>
    <xf numFmtId="4" fontId="14" fillId="0" borderId="0" xfId="1" applyNumberFormat="1" applyFont="1" applyAlignment="1"/>
    <xf numFmtId="3" fontId="14" fillId="0" borderId="0" xfId="1" applyNumberFormat="1" applyFont="1" applyBorder="1" applyAlignment="1">
      <alignment horizontal="center"/>
    </xf>
    <xf numFmtId="170" fontId="14" fillId="0" borderId="0" xfId="1" applyNumberFormat="1" applyFont="1" applyAlignment="1" applyProtection="1">
      <alignment horizontal="center"/>
      <protection locked="0"/>
    </xf>
    <xf numFmtId="170" fontId="14" fillId="0" borderId="0" xfId="1" applyNumberFormat="1" applyFont="1" applyFill="1" applyAlignment="1"/>
    <xf numFmtId="0" fontId="14" fillId="0" borderId="14" xfId="1" applyNumberFormat="1" applyFont="1" applyBorder="1" applyAlignment="1"/>
    <xf numFmtId="0" fontId="7" fillId="0" borderId="0" xfId="1" applyNumberFormat="1" applyFont="1" applyAlignment="1"/>
    <xf numFmtId="3" fontId="7" fillId="0" borderId="0" xfId="1" applyNumberFormat="1" applyFont="1" applyAlignment="1"/>
    <xf numFmtId="179" fontId="14" fillId="4" borderId="0" xfId="1" applyNumberFormat="1" applyFont="1" applyFill="1" applyAlignment="1"/>
    <xf numFmtId="42" fontId="14" fillId="4" borderId="0" xfId="1" applyNumberFormat="1" applyFont="1" applyFill="1" applyAlignment="1"/>
    <xf numFmtId="3" fontId="14" fillId="0" borderId="0" xfId="1" applyNumberFormat="1" applyFont="1" applyFill="1" applyAlignment="1" applyProtection="1">
      <protection locked="0"/>
    </xf>
    <xf numFmtId="9" fontId="14" fillId="0" borderId="0" xfId="1" applyNumberFormat="1" applyFont="1" applyAlignment="1"/>
    <xf numFmtId="175" fontId="14" fillId="0" borderId="0" xfId="1" applyNumberFormat="1" applyFont="1" applyAlignment="1"/>
    <xf numFmtId="3" fontId="14" fillId="0" borderId="0" xfId="1" quotePrefix="1" applyNumberFormat="1" applyFont="1" applyAlignment="1"/>
    <xf numFmtId="175" fontId="14" fillId="4" borderId="0" xfId="1" applyNumberFormat="1" applyFont="1" applyFill="1" applyAlignment="1"/>
    <xf numFmtId="175" fontId="14" fillId="0" borderId="14" xfId="1" applyNumberFormat="1" applyFont="1" applyBorder="1" applyAlignment="1"/>
    <xf numFmtId="0" fontId="14" fillId="0" borderId="0" xfId="1" applyNumberFormat="1" applyFont="1" applyBorder="1" applyAlignment="1" applyProtection="1">
      <alignment horizontal="center"/>
      <protection locked="0"/>
    </xf>
    <xf numFmtId="0" fontId="24" fillId="0" borderId="0" xfId="1" applyNumberFormat="1" applyFont="1" applyProtection="1">
      <protection locked="0"/>
    </xf>
    <xf numFmtId="166" fontId="24" fillId="0" borderId="0" xfId="1" applyNumberFormat="1" applyFont="1" applyAlignment="1"/>
    <xf numFmtId="166" fontId="14" fillId="0" borderId="0" xfId="1" applyNumberFormat="1" applyFont="1" applyFill="1" applyAlignment="1" applyProtection="1"/>
    <xf numFmtId="38" fontId="14" fillId="4" borderId="0" xfId="1" applyNumberFormat="1" applyFont="1" applyFill="1" applyBorder="1" applyProtection="1">
      <protection locked="0"/>
    </xf>
    <xf numFmtId="38" fontId="14" fillId="0" borderId="0" xfId="1" applyNumberFormat="1" applyFont="1" applyAlignment="1" applyProtection="1"/>
    <xf numFmtId="0" fontId="14" fillId="0" borderId="14" xfId="1" applyNumberFormat="1" applyFont="1" applyBorder="1"/>
    <xf numFmtId="0" fontId="14" fillId="0" borderId="14" xfId="1" applyNumberFormat="1" applyFont="1" applyBorder="1" applyProtection="1">
      <protection locked="0"/>
    </xf>
    <xf numFmtId="38" fontId="14" fillId="4" borderId="14" xfId="1" applyNumberFormat="1" applyFont="1" applyFill="1" applyBorder="1" applyProtection="1">
      <protection locked="0"/>
    </xf>
    <xf numFmtId="38" fontId="14" fillId="0" borderId="0" xfId="1" applyNumberFormat="1" applyFont="1" applyAlignment="1"/>
    <xf numFmtId="38" fontId="14" fillId="0" borderId="0" xfId="1" applyNumberFormat="1" applyFont="1" applyFill="1" applyBorder="1" applyProtection="1"/>
    <xf numFmtId="179" fontId="14" fillId="0" borderId="0" xfId="1" applyNumberFormat="1" applyFont="1" applyFill="1" applyBorder="1" applyProtection="1"/>
    <xf numFmtId="1" fontId="14" fillId="0" borderId="0" xfId="1" applyNumberFormat="1" applyFont="1" applyFill="1" applyProtection="1"/>
    <xf numFmtId="171" fontId="14" fillId="0" borderId="0" xfId="1" applyNumberFormat="1" applyFont="1" applyProtection="1">
      <protection locked="0"/>
    </xf>
    <xf numFmtId="179" fontId="14" fillId="4" borderId="0" xfId="1" applyNumberFormat="1" applyFont="1" applyFill="1" applyBorder="1" applyProtection="1"/>
    <xf numFmtId="1" fontId="14" fillId="0" borderId="0" xfId="1" applyNumberFormat="1" applyFont="1" applyFill="1" applyBorder="1" applyProtection="1"/>
    <xf numFmtId="3" fontId="25" fillId="0" borderId="0" xfId="1" applyNumberFormat="1" applyFont="1" applyBorder="1" applyAlignment="1">
      <alignment horizontal="left"/>
    </xf>
    <xf numFmtId="179" fontId="14" fillId="4" borderId="0" xfId="1" applyNumberFormat="1" applyFont="1" applyFill="1" applyBorder="1" applyAlignment="1" applyProtection="1">
      <protection locked="0"/>
    </xf>
    <xf numFmtId="3" fontId="14" fillId="0" borderId="0" xfId="1" applyNumberFormat="1" applyFont="1" applyAlignment="1" applyProtection="1"/>
    <xf numFmtId="0" fontId="14" fillId="0" borderId="0" xfId="1" applyNumberFormat="1" applyFont="1" applyBorder="1" applyAlignment="1" applyProtection="1">
      <protection locked="0"/>
    </xf>
    <xf numFmtId="0" fontId="14" fillId="0" borderId="0" xfId="1" applyNumberFormat="1" applyFont="1" applyBorder="1" applyProtection="1">
      <protection locked="0"/>
    </xf>
    <xf numFmtId="0" fontId="14" fillId="0" borderId="14" xfId="1" applyNumberFormat="1" applyFont="1" applyBorder="1" applyAlignment="1" applyProtection="1">
      <protection locked="0"/>
    </xf>
    <xf numFmtId="179" fontId="14" fillId="4" borderId="14" xfId="1" applyNumberFormat="1" applyFont="1" applyFill="1" applyBorder="1" applyAlignment="1" applyProtection="1">
      <protection locked="0"/>
    </xf>
    <xf numFmtId="166" fontId="14" fillId="0" borderId="0" xfId="20" applyNumberFormat="1" applyFont="1" applyAlignment="1" applyProtection="1">
      <protection locked="0"/>
    </xf>
    <xf numFmtId="179" fontId="14" fillId="0" borderId="0" xfId="1" applyNumberFormat="1" applyFont="1" applyFill="1" applyBorder="1" applyAlignment="1" applyProtection="1"/>
    <xf numFmtId="166" fontId="14" fillId="0" borderId="0" xfId="1" applyNumberFormat="1" applyFont="1" applyAlignment="1" applyProtection="1">
      <protection locked="0"/>
    </xf>
    <xf numFmtId="3" fontId="14" fillId="0" borderId="0" xfId="1" applyNumberFormat="1" applyFont="1" applyFill="1" applyBorder="1" applyAlignment="1" applyProtection="1"/>
    <xf numFmtId="179" fontId="14" fillId="0" borderId="0" xfId="1" applyNumberFormat="1" applyFont="1" applyProtection="1">
      <protection locked="0"/>
    </xf>
    <xf numFmtId="3" fontId="14" fillId="0" borderId="0" xfId="1" applyNumberFormat="1" applyFont="1" applyFill="1" applyAlignment="1" applyProtection="1"/>
    <xf numFmtId="10" fontId="14" fillId="4" borderId="0" xfId="1" applyNumberFormat="1" applyFont="1" applyFill="1" applyProtection="1">
      <protection locked="0"/>
    </xf>
    <xf numFmtId="0" fontId="25" fillId="0" borderId="0" xfId="1" applyNumberFormat="1" applyFont="1" applyFill="1" applyAlignment="1" applyProtection="1">
      <alignment horizontal="left"/>
      <protection locked="0"/>
    </xf>
    <xf numFmtId="0" fontId="26" fillId="0" borderId="0" xfId="1" applyNumberFormat="1" applyFont="1" applyFill="1" applyProtection="1">
      <protection locked="0"/>
    </xf>
    <xf numFmtId="10" fontId="14" fillId="0" borderId="0" xfId="1" applyNumberFormat="1" applyFont="1" applyFill="1"/>
    <xf numFmtId="166" fontId="14" fillId="0" borderId="0" xfId="1" applyNumberFormat="1" applyFont="1" applyFill="1" applyAlignment="1">
      <alignment horizontal="center"/>
    </xf>
    <xf numFmtId="0" fontId="14" fillId="0" borderId="0" xfId="20" applyNumberFormat="1" applyFont="1"/>
    <xf numFmtId="166" fontId="14" fillId="0" borderId="0" xfId="20" applyFont="1" applyFill="1" applyAlignment="1">
      <alignment horizontal="center"/>
    </xf>
    <xf numFmtId="166" fontId="14" fillId="0" borderId="0" xfId="20" applyFont="1" applyFill="1" applyAlignment="1">
      <alignment horizontal="center" vertical="top" wrapText="1"/>
    </xf>
    <xf numFmtId="166" fontId="14" fillId="0" borderId="0" xfId="20" applyFont="1" applyAlignment="1">
      <alignment horizontal="center"/>
    </xf>
    <xf numFmtId="0" fontId="14" fillId="0" borderId="0" xfId="20" applyNumberFormat="1" applyFont="1" applyFill="1" applyAlignment="1">
      <alignment horizontal="left" indent="2"/>
    </xf>
    <xf numFmtId="37" fontId="27" fillId="0" borderId="0" xfId="20" applyNumberFormat="1" applyFont="1" applyFill="1" applyAlignment="1"/>
    <xf numFmtId="37" fontId="27" fillId="0" borderId="1" xfId="20" applyNumberFormat="1" applyFont="1" applyFill="1" applyBorder="1" applyAlignment="1"/>
    <xf numFmtId="166" fontId="14" fillId="0" borderId="0" xfId="20" applyFont="1" applyFill="1" applyAlignment="1">
      <alignment horizontal="left" indent="2"/>
    </xf>
    <xf numFmtId="180" fontId="27" fillId="0" borderId="1" xfId="20" applyNumberFormat="1" applyFont="1" applyFill="1" applyBorder="1" applyAlignment="1"/>
    <xf numFmtId="37" fontId="14" fillId="0" borderId="0" xfId="20" applyNumberFormat="1" applyFont="1" applyFill="1" applyAlignment="1"/>
    <xf numFmtId="0" fontId="15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4" fillId="0" borderId="0" xfId="20" applyNumberFormat="1" applyFont="1" applyFill="1" applyAlignment="1">
      <alignment horizontal="left" wrapText="1"/>
    </xf>
    <xf numFmtId="0" fontId="3" fillId="0" borderId="0" xfId="1" applyNumberForma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14" fillId="0" borderId="0" xfId="20" applyNumberFormat="1" applyFont="1" applyFill="1" applyAlignment="1">
      <alignment vertical="top" wrapText="1"/>
    </xf>
  </cellXfs>
  <cellStyles count="21">
    <cellStyle name="Comma 2" xfId="2"/>
    <cellStyle name="Comma 2 2" xfId="16"/>
    <cellStyle name="Comma 3" xfId="3"/>
    <cellStyle name="Comma 4" xfId="13"/>
    <cellStyle name="Comma 5" xfId="19"/>
    <cellStyle name="Currency 2" xfId="4"/>
    <cellStyle name="Currency 3" xfId="5"/>
    <cellStyle name="Currency 4" xfId="14"/>
    <cellStyle name="Currency 5" xfId="18"/>
    <cellStyle name="Normal" xfId="0" builtinId="0"/>
    <cellStyle name="Normal 2" xfId="1"/>
    <cellStyle name="Normal 2 2" xfId="12"/>
    <cellStyle name="Normal 2 3" xfId="15"/>
    <cellStyle name="Normal 3" xfId="6"/>
    <cellStyle name="Normal 3 2" xfId="17"/>
    <cellStyle name="Normal 4" xfId="7"/>
    <cellStyle name="Normal 4 2" xfId="8"/>
    <cellStyle name="Normal 5" xfId="9"/>
    <cellStyle name="Normal 6" xfId="10"/>
    <cellStyle name="Normal_Attachment O &amp; GG Final 11_11_09" xfId="20"/>
    <cellStyle name="Percent 2" xfId="1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/>
    <tableStyle name="PivotTable Style 2" table="0" count="1">
      <tableStyleElement type="wholeTable" dxfId="1"/>
    </tableStyle>
    <tableStyle name="PivotTable Style 3" table="0" count="1">
      <tableStyleElement type="wholeTable" dxfId="0"/>
    </tableStyle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6"/>
  </cols>
  <sheetData>
    <row r="4" spans="1:9" ht="15.75">
      <c r="A4" s="5"/>
    </row>
    <row r="5" spans="1:9" ht="15.75">
      <c r="A5" s="7" t="s">
        <v>0</v>
      </c>
      <c r="B5" s="8"/>
      <c r="C5" s="8"/>
      <c r="D5" s="8"/>
      <c r="E5" s="8"/>
      <c r="F5" s="8"/>
      <c r="G5" s="8"/>
      <c r="H5" s="8"/>
      <c r="I5" s="8"/>
    </row>
    <row r="6" spans="1:9" ht="15.75">
      <c r="A6" s="7" t="s">
        <v>17</v>
      </c>
      <c r="B6" s="8"/>
      <c r="C6" s="8"/>
      <c r="D6" s="8"/>
      <c r="E6" s="8"/>
      <c r="F6" s="8"/>
      <c r="G6" s="8"/>
      <c r="H6" s="8"/>
      <c r="I6" s="8"/>
    </row>
    <row r="7" spans="1:9" ht="15.75">
      <c r="A7" s="7" t="s">
        <v>180</v>
      </c>
      <c r="B7" s="8"/>
      <c r="C7" s="8"/>
      <c r="D7" s="8"/>
      <c r="E7" s="8"/>
      <c r="F7" s="8"/>
      <c r="G7" s="8"/>
      <c r="H7" s="8"/>
      <c r="I7" s="8"/>
    </row>
    <row r="8" spans="1:9" ht="15.75">
      <c r="A8" s="7" t="s">
        <v>259</v>
      </c>
      <c r="B8" s="37"/>
      <c r="C8" s="37"/>
      <c r="D8" s="37"/>
      <c r="E8" s="37"/>
      <c r="F8" s="37"/>
      <c r="G8" s="37"/>
      <c r="H8" s="37"/>
      <c r="I8" s="37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workbookViewId="0"/>
  </sheetViews>
  <sheetFormatPr defaultRowHeight="12.75"/>
  <cols>
    <col min="1" max="1" width="15.7109375" style="24" customWidth="1"/>
    <col min="2" max="2" width="2.7109375" style="24" customWidth="1"/>
    <col min="3" max="3" width="10.7109375" style="24" bestFit="1" customWidth="1"/>
    <col min="4" max="4" width="2.7109375" style="24" customWidth="1"/>
    <col min="5" max="5" width="12.140625" style="24" bestFit="1" customWidth="1"/>
    <col min="6" max="6" width="2.7109375" style="24" customWidth="1"/>
    <col min="7" max="7" width="13.7109375" style="129" bestFit="1" customWidth="1"/>
    <col min="8" max="8" width="2.7109375" style="24" customWidth="1"/>
    <col min="9" max="9" width="11.42578125" style="24" bestFit="1" customWidth="1"/>
    <col min="10" max="10" width="2.7109375" style="24" customWidth="1"/>
    <col min="11" max="11" width="11.42578125" style="24" bestFit="1" customWidth="1"/>
    <col min="12" max="12" width="2.7109375" style="24" customWidth="1"/>
    <col min="13" max="16384" width="9.140625" style="24"/>
  </cols>
  <sheetData>
    <row r="1" spans="1:9">
      <c r="A1" s="23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23" t="s">
        <v>2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23" t="s">
        <v>48</v>
      </c>
      <c r="B3" s="114"/>
      <c r="C3" s="114"/>
      <c r="D3" s="114"/>
      <c r="E3" s="114"/>
      <c r="F3" s="114"/>
      <c r="G3" s="114"/>
      <c r="H3" s="114"/>
      <c r="I3" s="114"/>
    </row>
    <row r="4" spans="1:9">
      <c r="A4" s="23" t="str">
        <f>'Cover Page'!A7</f>
        <v>Projected 2016</v>
      </c>
      <c r="B4" s="114"/>
      <c r="C4" s="114"/>
      <c r="D4" s="114"/>
      <c r="E4" s="114"/>
      <c r="F4" s="114"/>
      <c r="G4" s="114"/>
      <c r="H4" s="114"/>
      <c r="I4" s="114"/>
    </row>
    <row r="5" spans="1:9">
      <c r="G5" s="24"/>
    </row>
    <row r="7" spans="1:9">
      <c r="A7" s="123"/>
      <c r="C7" s="120" t="s">
        <v>50</v>
      </c>
      <c r="D7" s="120"/>
      <c r="E7" s="124"/>
      <c r="F7" s="120"/>
      <c r="G7" s="120"/>
      <c r="I7" s="116" t="s">
        <v>27</v>
      </c>
    </row>
    <row r="8" spans="1:9">
      <c r="A8" s="116"/>
      <c r="C8" s="117" t="s">
        <v>100</v>
      </c>
      <c r="E8" s="125" t="s">
        <v>71</v>
      </c>
      <c r="G8" s="117" t="s">
        <v>26</v>
      </c>
      <c r="I8" s="117" t="s">
        <v>40</v>
      </c>
    </row>
    <row r="9" spans="1:9">
      <c r="A9" s="121" t="s">
        <v>183</v>
      </c>
      <c r="C9" s="126">
        <v>1650000</v>
      </c>
      <c r="D9" s="72"/>
      <c r="E9" s="72">
        <v>909000</v>
      </c>
      <c r="F9" s="72"/>
      <c r="G9" s="72">
        <f>SUM(C9:E9)</f>
        <v>2559000</v>
      </c>
      <c r="I9" s="72">
        <f>ROUND(G9*$I$41,0)</f>
        <v>2483612</v>
      </c>
    </row>
    <row r="10" spans="1:9">
      <c r="A10" s="121" t="s">
        <v>184</v>
      </c>
      <c r="C10" s="48">
        <f>C9</f>
        <v>1650000</v>
      </c>
      <c r="D10" s="48"/>
      <c r="E10" s="48">
        <f>E9</f>
        <v>909000</v>
      </c>
      <c r="G10" s="48">
        <f t="shared" ref="G10:G21" si="0">SUM(C10:E10)</f>
        <v>2559000</v>
      </c>
      <c r="I10" s="48">
        <f t="shared" ref="I10:I21" si="1">ROUND(G10*$I$41,0)</f>
        <v>2483612</v>
      </c>
    </row>
    <row r="11" spans="1:9">
      <c r="A11" s="121" t="s">
        <v>4</v>
      </c>
      <c r="C11" s="48">
        <f t="shared" ref="C11:C21" si="2">C10</f>
        <v>1650000</v>
      </c>
      <c r="D11" s="48"/>
      <c r="E11" s="48">
        <f t="shared" ref="E11:E21" si="3">E10</f>
        <v>909000</v>
      </c>
      <c r="G11" s="48">
        <f t="shared" si="0"/>
        <v>2559000</v>
      </c>
      <c r="I11" s="48">
        <f t="shared" si="1"/>
        <v>2483612</v>
      </c>
    </row>
    <row r="12" spans="1:9">
      <c r="A12" s="121" t="s">
        <v>5</v>
      </c>
      <c r="C12" s="48">
        <f t="shared" si="2"/>
        <v>1650000</v>
      </c>
      <c r="D12" s="48"/>
      <c r="E12" s="48">
        <f t="shared" si="3"/>
        <v>909000</v>
      </c>
      <c r="G12" s="48">
        <f t="shared" si="0"/>
        <v>2559000</v>
      </c>
      <c r="I12" s="48">
        <f t="shared" si="1"/>
        <v>2483612</v>
      </c>
    </row>
    <row r="13" spans="1:9">
      <c r="A13" s="121" t="s">
        <v>6</v>
      </c>
      <c r="C13" s="48">
        <f t="shared" si="2"/>
        <v>1650000</v>
      </c>
      <c r="D13" s="48"/>
      <c r="E13" s="48">
        <f t="shared" si="3"/>
        <v>909000</v>
      </c>
      <c r="G13" s="48">
        <f t="shared" si="0"/>
        <v>2559000</v>
      </c>
      <c r="I13" s="48">
        <f t="shared" si="1"/>
        <v>2483612</v>
      </c>
    </row>
    <row r="14" spans="1:9">
      <c r="A14" s="121" t="s">
        <v>7</v>
      </c>
      <c r="C14" s="48">
        <f t="shared" si="2"/>
        <v>1650000</v>
      </c>
      <c r="D14" s="48"/>
      <c r="E14" s="48">
        <f t="shared" si="3"/>
        <v>909000</v>
      </c>
      <c r="G14" s="48">
        <f t="shared" si="0"/>
        <v>2559000</v>
      </c>
      <c r="I14" s="48">
        <f t="shared" si="1"/>
        <v>2483612</v>
      </c>
    </row>
    <row r="15" spans="1:9">
      <c r="A15" s="121" t="s">
        <v>8</v>
      </c>
      <c r="C15" s="48">
        <f t="shared" si="2"/>
        <v>1650000</v>
      </c>
      <c r="D15" s="48"/>
      <c r="E15" s="48">
        <f t="shared" si="3"/>
        <v>909000</v>
      </c>
      <c r="G15" s="48">
        <f t="shared" si="0"/>
        <v>2559000</v>
      </c>
      <c r="I15" s="48">
        <f t="shared" si="1"/>
        <v>2483612</v>
      </c>
    </row>
    <row r="16" spans="1:9">
      <c r="A16" s="121" t="s">
        <v>9</v>
      </c>
      <c r="C16" s="48">
        <f t="shared" si="2"/>
        <v>1650000</v>
      </c>
      <c r="D16" s="48"/>
      <c r="E16" s="48">
        <f t="shared" si="3"/>
        <v>909000</v>
      </c>
      <c r="G16" s="48">
        <f t="shared" si="0"/>
        <v>2559000</v>
      </c>
      <c r="I16" s="48">
        <f t="shared" si="1"/>
        <v>2483612</v>
      </c>
    </row>
    <row r="17" spans="1:9">
      <c r="A17" s="121" t="s">
        <v>10</v>
      </c>
      <c r="C17" s="48">
        <f t="shared" si="2"/>
        <v>1650000</v>
      </c>
      <c r="D17" s="48"/>
      <c r="E17" s="48">
        <f t="shared" si="3"/>
        <v>909000</v>
      </c>
      <c r="G17" s="48">
        <f t="shared" si="0"/>
        <v>2559000</v>
      </c>
      <c r="I17" s="48">
        <f t="shared" si="1"/>
        <v>2483612</v>
      </c>
    </row>
    <row r="18" spans="1:9">
      <c r="A18" s="121" t="s">
        <v>11</v>
      </c>
      <c r="C18" s="48">
        <f t="shared" si="2"/>
        <v>1650000</v>
      </c>
      <c r="D18" s="48"/>
      <c r="E18" s="48">
        <f t="shared" si="3"/>
        <v>909000</v>
      </c>
      <c r="G18" s="48">
        <f t="shared" si="0"/>
        <v>2559000</v>
      </c>
      <c r="I18" s="48">
        <f t="shared" si="1"/>
        <v>2483612</v>
      </c>
    </row>
    <row r="19" spans="1:9">
      <c r="A19" s="121" t="s">
        <v>12</v>
      </c>
      <c r="C19" s="48">
        <f t="shared" si="2"/>
        <v>1650000</v>
      </c>
      <c r="D19" s="48"/>
      <c r="E19" s="48">
        <f t="shared" si="3"/>
        <v>909000</v>
      </c>
      <c r="G19" s="48">
        <f t="shared" si="0"/>
        <v>2559000</v>
      </c>
      <c r="I19" s="48">
        <f t="shared" si="1"/>
        <v>2483612</v>
      </c>
    </row>
    <row r="20" spans="1:9">
      <c r="A20" s="121" t="s">
        <v>13</v>
      </c>
      <c r="C20" s="48">
        <f t="shared" si="2"/>
        <v>1650000</v>
      </c>
      <c r="D20" s="48"/>
      <c r="E20" s="48">
        <f t="shared" si="3"/>
        <v>909000</v>
      </c>
      <c r="G20" s="48">
        <f t="shared" si="0"/>
        <v>2559000</v>
      </c>
      <c r="I20" s="48">
        <f t="shared" si="1"/>
        <v>2483612</v>
      </c>
    </row>
    <row r="21" spans="1:9">
      <c r="A21" s="121" t="s">
        <v>14</v>
      </c>
      <c r="C21" s="48">
        <f t="shared" si="2"/>
        <v>1650000</v>
      </c>
      <c r="D21" s="48"/>
      <c r="E21" s="48">
        <f t="shared" si="3"/>
        <v>909000</v>
      </c>
      <c r="G21" s="48">
        <f t="shared" si="0"/>
        <v>2559000</v>
      </c>
      <c r="I21" s="48">
        <f t="shared" si="1"/>
        <v>2483612</v>
      </c>
    </row>
    <row r="22" spans="1:9">
      <c r="A22" s="121" t="s">
        <v>19</v>
      </c>
      <c r="C22" s="48"/>
      <c r="D22" s="48"/>
      <c r="E22" s="48"/>
      <c r="G22" s="48"/>
      <c r="I22" s="48">
        <f>ROUND(AVERAGE(I9:I21),0)</f>
        <v>2483612</v>
      </c>
    </row>
    <row r="23" spans="1:9">
      <c r="C23" s="48"/>
      <c r="D23" s="48"/>
      <c r="E23" s="48"/>
      <c r="F23" s="48"/>
      <c r="G23" s="48"/>
      <c r="I23" s="48"/>
    </row>
    <row r="24" spans="1:9">
      <c r="C24" s="48"/>
      <c r="D24" s="48"/>
      <c r="E24" s="48"/>
      <c r="F24" s="48"/>
      <c r="G24" s="48"/>
    </row>
    <row r="25" spans="1:9">
      <c r="A25" s="120" t="s">
        <v>101</v>
      </c>
      <c r="B25" s="120"/>
      <c r="C25" s="120"/>
      <c r="D25" s="120"/>
      <c r="E25" s="120"/>
      <c r="F25" s="120"/>
      <c r="G25" s="124"/>
      <c r="H25" s="120"/>
      <c r="I25" s="120"/>
    </row>
    <row r="26" spans="1:9">
      <c r="C26" s="116" t="s">
        <v>26</v>
      </c>
      <c r="E26" s="116" t="s">
        <v>28</v>
      </c>
      <c r="G26" s="116" t="s">
        <v>27</v>
      </c>
      <c r="I26" s="127" t="s">
        <v>98</v>
      </c>
    </row>
    <row r="27" spans="1:9">
      <c r="C27" s="117" t="s">
        <v>29</v>
      </c>
      <c r="E27" s="117" t="s">
        <v>96</v>
      </c>
      <c r="G27" s="117" t="s">
        <v>40</v>
      </c>
      <c r="I27" s="125" t="s">
        <v>40</v>
      </c>
    </row>
    <row r="28" spans="1:9">
      <c r="A28" s="121" t="s">
        <v>187</v>
      </c>
      <c r="C28" s="48">
        <f>E28+G28</f>
        <v>1625478</v>
      </c>
      <c r="D28" s="48"/>
      <c r="E28" s="48">
        <v>19050</v>
      </c>
      <c r="G28" s="48">
        <v>1606428</v>
      </c>
      <c r="I28" s="122">
        <f>ROUND(G28/C28,5)</f>
        <v>0.98828000000000005</v>
      </c>
    </row>
    <row r="29" spans="1:9">
      <c r="A29" s="121" t="s">
        <v>44</v>
      </c>
      <c r="C29" s="48">
        <f t="shared" ref="C29:C40" si="4">E29+G29</f>
        <v>3679472</v>
      </c>
      <c r="D29" s="48"/>
      <c r="E29" s="48">
        <v>129125</v>
      </c>
      <c r="G29" s="48">
        <v>3550347</v>
      </c>
      <c r="I29" s="122">
        <f t="shared" ref="I29:I40" si="5">ROUND(G29/C29,5)</f>
        <v>0.96491000000000005</v>
      </c>
    </row>
    <row r="30" spans="1:9">
      <c r="A30" s="121" t="s">
        <v>4</v>
      </c>
      <c r="C30" s="48">
        <f t="shared" si="4"/>
        <v>2843539</v>
      </c>
      <c r="D30" s="48"/>
      <c r="E30" s="48">
        <v>118242</v>
      </c>
      <c r="G30" s="48">
        <v>2725297</v>
      </c>
      <c r="I30" s="122">
        <f t="shared" si="5"/>
        <v>0.95842000000000005</v>
      </c>
    </row>
    <row r="31" spans="1:9">
      <c r="A31" s="121" t="s">
        <v>5</v>
      </c>
      <c r="C31" s="48">
        <f t="shared" si="4"/>
        <v>2617843</v>
      </c>
      <c r="D31" s="48"/>
      <c r="E31" s="48">
        <v>98389</v>
      </c>
      <c r="G31" s="48">
        <v>2519454</v>
      </c>
      <c r="I31" s="122">
        <f t="shared" si="5"/>
        <v>0.96242000000000005</v>
      </c>
    </row>
    <row r="32" spans="1:9">
      <c r="A32" s="121" t="s">
        <v>6</v>
      </c>
      <c r="C32" s="48">
        <f t="shared" si="4"/>
        <v>2493048</v>
      </c>
      <c r="D32" s="48"/>
      <c r="E32" s="48">
        <v>86824</v>
      </c>
      <c r="G32" s="48">
        <v>2406224</v>
      </c>
      <c r="I32" s="122">
        <f t="shared" si="5"/>
        <v>0.96516999999999997</v>
      </c>
    </row>
    <row r="33" spans="1:9">
      <c r="A33" s="121" t="s">
        <v>7</v>
      </c>
      <c r="C33" s="48">
        <f t="shared" si="4"/>
        <v>2082249</v>
      </c>
      <c r="D33" s="48"/>
      <c r="E33" s="48">
        <v>76032</v>
      </c>
      <c r="G33" s="48">
        <v>2006217</v>
      </c>
      <c r="I33" s="122">
        <f t="shared" si="5"/>
        <v>0.96348999999999996</v>
      </c>
    </row>
    <row r="34" spans="1:9">
      <c r="A34" s="121" t="s">
        <v>8</v>
      </c>
      <c r="C34" s="48">
        <f t="shared" si="4"/>
        <v>1712036</v>
      </c>
      <c r="D34" s="48"/>
      <c r="E34" s="48">
        <v>65240</v>
      </c>
      <c r="G34" s="48">
        <v>1646796</v>
      </c>
      <c r="I34" s="122">
        <f t="shared" si="5"/>
        <v>0.96189000000000002</v>
      </c>
    </row>
    <row r="35" spans="1:9">
      <c r="A35" s="121" t="s">
        <v>9</v>
      </c>
      <c r="C35" s="48">
        <f t="shared" si="4"/>
        <v>1401948</v>
      </c>
      <c r="D35" s="48"/>
      <c r="E35" s="48">
        <v>54448</v>
      </c>
      <c r="G35" s="48">
        <v>1347500</v>
      </c>
      <c r="I35" s="122">
        <f t="shared" si="5"/>
        <v>0.96116000000000001</v>
      </c>
    </row>
    <row r="36" spans="1:9">
      <c r="A36" s="121" t="s">
        <v>10</v>
      </c>
      <c r="C36" s="48">
        <f t="shared" si="4"/>
        <v>1458456</v>
      </c>
      <c r="D36" s="48"/>
      <c r="E36" s="48">
        <v>43656</v>
      </c>
      <c r="G36" s="48">
        <v>1414800</v>
      </c>
      <c r="I36" s="122">
        <f t="shared" si="5"/>
        <v>0.97006999999999999</v>
      </c>
    </row>
    <row r="37" spans="1:9">
      <c r="A37" s="121" t="s">
        <v>11</v>
      </c>
      <c r="C37" s="48">
        <f t="shared" si="4"/>
        <v>1414508</v>
      </c>
      <c r="D37" s="48"/>
      <c r="E37" s="48">
        <v>32864</v>
      </c>
      <c r="G37" s="48">
        <v>1381644</v>
      </c>
      <c r="I37" s="122">
        <f t="shared" si="5"/>
        <v>0.97677000000000003</v>
      </c>
    </row>
    <row r="38" spans="1:9">
      <c r="A38" s="121" t="s">
        <v>12</v>
      </c>
      <c r="C38" s="48">
        <f t="shared" si="4"/>
        <v>955478</v>
      </c>
      <c r="D38" s="48"/>
      <c r="E38" s="48">
        <v>22072</v>
      </c>
      <c r="G38" s="48">
        <v>933406</v>
      </c>
      <c r="I38" s="122">
        <f t="shared" si="5"/>
        <v>0.97689999999999999</v>
      </c>
    </row>
    <row r="39" spans="1:9">
      <c r="A39" s="121" t="s">
        <v>13</v>
      </c>
      <c r="C39" s="48">
        <f t="shared" si="4"/>
        <v>977721</v>
      </c>
      <c r="D39" s="48"/>
      <c r="E39" s="48">
        <v>22708</v>
      </c>
      <c r="G39" s="48">
        <v>955013</v>
      </c>
      <c r="I39" s="122">
        <f t="shared" si="5"/>
        <v>0.97677000000000003</v>
      </c>
    </row>
    <row r="40" spans="1:9">
      <c r="A40" s="121" t="s">
        <v>14</v>
      </c>
      <c r="C40" s="48">
        <f t="shared" si="4"/>
        <v>1285398</v>
      </c>
      <c r="D40" s="48"/>
      <c r="E40" s="48">
        <v>11823</v>
      </c>
      <c r="G40" s="48">
        <v>1273575</v>
      </c>
      <c r="I40" s="122">
        <f t="shared" si="5"/>
        <v>0.99080000000000001</v>
      </c>
    </row>
    <row r="41" spans="1:9">
      <c r="C41" s="48"/>
      <c r="D41" s="48"/>
      <c r="E41" s="48"/>
      <c r="G41" s="122"/>
      <c r="I41" s="128">
        <f>ROUND(AVERAGE(I28:I40),5)</f>
        <v>0.97053999999999996</v>
      </c>
    </row>
    <row r="42" spans="1:9">
      <c r="C42" s="48"/>
      <c r="D42" s="48"/>
      <c r="E42" s="48"/>
      <c r="G42" s="122"/>
    </row>
    <row r="49" spans="3:4">
      <c r="C49" s="48"/>
      <c r="D49" s="48"/>
    </row>
    <row r="50" spans="3:4">
      <c r="C50" s="48"/>
      <c r="D50" s="48"/>
    </row>
    <row r="51" spans="3:4">
      <c r="C51" s="48"/>
      <c r="D51" s="48"/>
    </row>
    <row r="52" spans="3:4">
      <c r="C52" s="48"/>
      <c r="D52" s="48"/>
    </row>
    <row r="53" spans="3:4">
      <c r="C53" s="48"/>
      <c r="D53" s="48"/>
    </row>
    <row r="54" spans="3:4">
      <c r="C54" s="48"/>
      <c r="D54" s="48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F35" sqref="F35"/>
    </sheetView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1.7109375" bestFit="1" customWidth="1"/>
    <col min="5" max="5" width="2.7109375" customWidth="1"/>
    <col min="6" max="6" width="17.5703125" bestFit="1" customWidth="1"/>
  </cols>
  <sheetData>
    <row r="1" spans="1:6">
      <c r="A1" s="3" t="s">
        <v>0</v>
      </c>
      <c r="B1" s="13"/>
      <c r="C1" s="13"/>
      <c r="D1" s="13"/>
      <c r="E1" s="13"/>
      <c r="F1" s="13"/>
    </row>
    <row r="2" spans="1:6">
      <c r="A2" s="3" t="s">
        <v>2</v>
      </c>
      <c r="B2" s="13"/>
      <c r="C2" s="13"/>
      <c r="D2" s="13"/>
      <c r="E2" s="13"/>
      <c r="F2" s="13"/>
    </row>
    <row r="3" spans="1:6">
      <c r="A3" s="3" t="s">
        <v>43</v>
      </c>
      <c r="B3" s="13"/>
      <c r="C3" s="13"/>
      <c r="D3" s="13"/>
      <c r="E3" s="13"/>
      <c r="F3" s="13"/>
    </row>
    <row r="4" spans="1:6">
      <c r="A4" s="3" t="str">
        <f>'Cover Page'!A7</f>
        <v>Projected 2016</v>
      </c>
      <c r="B4" s="13"/>
      <c r="C4" s="13"/>
      <c r="D4" s="13"/>
      <c r="E4" s="13"/>
      <c r="F4" s="13"/>
    </row>
    <row r="5" spans="1:6">
      <c r="A5" s="22"/>
    </row>
    <row r="7" spans="1:6">
      <c r="A7" t="s">
        <v>202</v>
      </c>
      <c r="F7" s="12">
        <v>190305658</v>
      </c>
    </row>
    <row r="8" spans="1:6">
      <c r="B8" t="s">
        <v>200</v>
      </c>
      <c r="F8" s="1">
        <v>98109713</v>
      </c>
    </row>
    <row r="9" spans="1:6">
      <c r="F9" s="29">
        <f>F7-F8</f>
        <v>92195945</v>
      </c>
    </row>
    <row r="10" spans="1:6">
      <c r="B10" t="s">
        <v>201</v>
      </c>
      <c r="F10" s="48">
        <v>4495820</v>
      </c>
    </row>
    <row r="11" spans="1:6">
      <c r="F11" s="29">
        <f>F9-F10</f>
        <v>87700125</v>
      </c>
    </row>
    <row r="12" spans="1:6">
      <c r="B12" t="s">
        <v>261</v>
      </c>
      <c r="F12" s="83">
        <v>0.125363</v>
      </c>
    </row>
    <row r="13" spans="1:6" s="68" customFormat="1">
      <c r="A13" s="68" t="s">
        <v>203</v>
      </c>
      <c r="F13" s="29">
        <f>ROUND(F11*F12,0)</f>
        <v>10994351</v>
      </c>
    </row>
    <row r="14" spans="1:6" s="68" customFormat="1"/>
    <row r="15" spans="1:6" s="68" customFormat="1">
      <c r="A15" s="68" t="s">
        <v>204</v>
      </c>
      <c r="F15" s="1">
        <v>4495820</v>
      </c>
    </row>
    <row r="16" spans="1:6" s="68" customFormat="1">
      <c r="A16" s="68" t="s">
        <v>205</v>
      </c>
      <c r="F16" s="1">
        <v>13000000</v>
      </c>
    </row>
    <row r="17" spans="4:6" s="68" customFormat="1"/>
    <row r="18" spans="4:6" s="68" customFormat="1" ht="13.5" thickBot="1">
      <c r="D18" s="36" t="s">
        <v>206</v>
      </c>
      <c r="E18"/>
      <c r="F18" s="44">
        <f>F13+F15+F16</f>
        <v>28490171</v>
      </c>
    </row>
    <row r="19" spans="4:6" s="68" customFormat="1" ht="13.5" thickTop="1">
      <c r="F19" s="1"/>
    </row>
    <row r="20" spans="4:6" s="68" customFormat="1">
      <c r="F20" s="1"/>
    </row>
    <row r="21" spans="4:6" s="68" customFormat="1">
      <c r="F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5"/>
  <sheetViews>
    <sheetView showGridLines="0" zoomScaleNormal="100" workbookViewId="0">
      <selection activeCell="I18" sqref="I18"/>
    </sheetView>
  </sheetViews>
  <sheetFormatPr defaultRowHeight="12.75"/>
  <cols>
    <col min="1" max="1" width="2.7109375" customWidth="1"/>
    <col min="2" max="2" width="2.7109375" style="30" customWidth="1"/>
    <col min="3" max="3" width="22.42578125" style="30" customWidth="1"/>
    <col min="4" max="4" width="2.7109375" customWidth="1"/>
    <col min="6" max="6" width="2.7109375" customWidth="1"/>
    <col min="7" max="7" width="11.7109375" bestFit="1" customWidth="1"/>
    <col min="8" max="8" width="2.7109375" customWidth="1"/>
    <col min="9" max="9" width="11.7109375" bestFit="1" customWidth="1"/>
  </cols>
  <sheetData>
    <row r="1" spans="1:1637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</row>
    <row r="2" spans="1:16374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6374">
      <c r="A3" s="3" t="s">
        <v>148</v>
      </c>
      <c r="B3" s="3"/>
      <c r="C3" s="3"/>
      <c r="D3" s="3"/>
      <c r="E3" s="3"/>
      <c r="F3" s="3"/>
      <c r="G3" s="3"/>
      <c r="H3" s="3"/>
      <c r="I3" s="3"/>
    </row>
    <row r="4" spans="1:16374">
      <c r="A4" s="3" t="str">
        <f>'Acct 561 Load Dispatching'!A4</f>
        <v>Projected 2016</v>
      </c>
      <c r="B4" s="3"/>
      <c r="C4" s="3"/>
      <c r="D4" s="3"/>
      <c r="E4" s="3"/>
      <c r="F4" s="3"/>
      <c r="G4" s="3"/>
      <c r="H4" s="3"/>
      <c r="I4" s="3"/>
    </row>
    <row r="6" spans="1:16374">
      <c r="I6" s="68" t="s">
        <v>33</v>
      </c>
    </row>
    <row r="7" spans="1:16374">
      <c r="A7" t="s">
        <v>154</v>
      </c>
      <c r="E7" s="4" t="s">
        <v>153</v>
      </c>
      <c r="G7" s="4">
        <v>2014</v>
      </c>
      <c r="I7" s="4" t="s">
        <v>197</v>
      </c>
    </row>
    <row r="8" spans="1:16374">
      <c r="B8" s="22" t="s">
        <v>149</v>
      </c>
      <c r="C8" s="22"/>
      <c r="E8" s="30">
        <v>5110</v>
      </c>
      <c r="F8" s="1"/>
      <c r="G8" s="72">
        <f>546222+148980</f>
        <v>695202</v>
      </c>
      <c r="H8" s="12"/>
      <c r="I8" s="12">
        <f>ROUND(G8*$I$15,0)</f>
        <v>878735</v>
      </c>
    </row>
    <row r="9" spans="1:16374">
      <c r="B9" s="22" t="s">
        <v>150</v>
      </c>
      <c r="C9" s="22"/>
      <c r="E9" s="30">
        <v>5120</v>
      </c>
      <c r="F9" s="1"/>
      <c r="G9" s="48">
        <f>32804+14691</f>
        <v>47495</v>
      </c>
      <c r="I9" s="1">
        <f>ROUND(G9*$I$15,0)</f>
        <v>60034</v>
      </c>
    </row>
    <row r="10" spans="1:16374">
      <c r="B10" s="22" t="s">
        <v>151</v>
      </c>
      <c r="C10" s="22"/>
      <c r="E10" s="30">
        <v>5130</v>
      </c>
      <c r="F10" s="1"/>
      <c r="G10" s="48">
        <f>3097+450</f>
        <v>3547</v>
      </c>
      <c r="I10" s="1">
        <f>ROUND(G10*$I$15,0)</f>
        <v>4483</v>
      </c>
    </row>
    <row r="11" spans="1:16374">
      <c r="B11" s="22" t="s">
        <v>152</v>
      </c>
      <c r="C11" s="22"/>
      <c r="E11" s="30">
        <v>5131</v>
      </c>
      <c r="F11" s="1"/>
      <c r="G11" s="48">
        <f>24971+6994</f>
        <v>31965</v>
      </c>
      <c r="I11" s="1">
        <f>ROUND(G11*$I$15,0)</f>
        <v>40404</v>
      </c>
    </row>
    <row r="12" spans="1:16374" ht="13.5" thickBot="1">
      <c r="F12" s="1"/>
      <c r="G12" s="2">
        <f>SUM(G8:G11)</f>
        <v>778209</v>
      </c>
      <c r="I12" s="2">
        <f>SUM(I8:I11)</f>
        <v>983656</v>
      </c>
    </row>
    <row r="13" spans="1:16374" ht="13.5" thickTop="1"/>
    <row r="14" spans="1:16374">
      <c r="A14" t="s">
        <v>155</v>
      </c>
    </row>
    <row r="15" spans="1:16374">
      <c r="A15" t="s">
        <v>198</v>
      </c>
      <c r="I15" s="84">
        <f>ROUND(I16/I17,3)</f>
        <v>1.264</v>
      </c>
    </row>
    <row r="16" spans="1:16374">
      <c r="B16" s="68"/>
      <c r="C16" s="22" t="s">
        <v>208</v>
      </c>
      <c r="D16" s="68"/>
      <c r="E16" s="68"/>
      <c r="G16" s="1"/>
      <c r="I16" s="12">
        <f>'O&amp;M'!F13</f>
        <v>10994351</v>
      </c>
    </row>
    <row r="17" spans="1:9">
      <c r="C17" s="22" t="s">
        <v>209</v>
      </c>
      <c r="G17" s="1"/>
      <c r="I17" s="1">
        <v>8701378</v>
      </c>
    </row>
    <row r="18" spans="1:9">
      <c r="A18" s="43"/>
      <c r="B18" s="68"/>
      <c r="C18" s="68"/>
      <c r="D18" s="68"/>
      <c r="E18" s="68"/>
      <c r="G18" s="1"/>
    </row>
    <row r="19" spans="1:9">
      <c r="A19" s="68"/>
      <c r="B19" s="68"/>
      <c r="C19" s="68"/>
      <c r="D19" s="68"/>
      <c r="E19" s="68"/>
      <c r="G19" s="1"/>
    </row>
    <row r="20" spans="1:9">
      <c r="A20" s="68"/>
      <c r="G20" s="1"/>
    </row>
    <row r="21" spans="1:9">
      <c r="G21" s="1"/>
      <c r="H21" s="1"/>
    </row>
    <row r="22" spans="1:9">
      <c r="H22" s="1"/>
    </row>
    <row r="23" spans="1:9">
      <c r="H23" s="1"/>
    </row>
    <row r="24" spans="1:9">
      <c r="H24" s="1"/>
    </row>
    <row r="25" spans="1:9">
      <c r="H25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C18" sqref="C18"/>
    </sheetView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1.140625" customWidth="1"/>
    <col min="5" max="5" width="11.7109375" bestFit="1" customWidth="1"/>
    <col min="6" max="6" width="1.140625" customWidth="1"/>
    <col min="7" max="7" width="9.7109375" bestFit="1" customWidth="1"/>
    <col min="8" max="8" width="1.140625" customWidth="1"/>
    <col min="9" max="9" width="9.7109375" bestFit="1" customWidth="1"/>
    <col min="10" max="10" width="0.5703125" customWidth="1"/>
    <col min="11" max="11" width="10.7109375" bestFit="1" customWidth="1"/>
    <col min="13" max="13" width="13.5703125" bestFit="1" customWidth="1"/>
  </cols>
  <sheetData>
    <row r="1" spans="1:13">
      <c r="A1" s="3" t="s">
        <v>0</v>
      </c>
      <c r="B1" s="3"/>
      <c r="C1" s="13"/>
      <c r="D1" s="13"/>
      <c r="E1" s="13"/>
      <c r="F1" s="13"/>
      <c r="G1" s="13"/>
      <c r="H1" s="13"/>
      <c r="I1" s="13"/>
      <c r="J1" s="13"/>
      <c r="K1" s="13"/>
    </row>
    <row r="2" spans="1:13">
      <c r="A2" s="3" t="s">
        <v>2</v>
      </c>
      <c r="B2" s="3"/>
      <c r="C2" s="13"/>
      <c r="D2" s="13"/>
      <c r="E2" s="13"/>
      <c r="F2" s="13"/>
      <c r="G2" s="13"/>
      <c r="H2" s="13"/>
      <c r="I2" s="13"/>
      <c r="J2" s="13"/>
      <c r="K2" s="13"/>
    </row>
    <row r="3" spans="1:13">
      <c r="A3" s="3" t="s">
        <v>102</v>
      </c>
      <c r="B3" s="3"/>
      <c r="C3" s="13"/>
      <c r="D3" s="13"/>
      <c r="E3" s="13"/>
      <c r="F3" s="13"/>
      <c r="G3" s="13"/>
      <c r="H3" s="13"/>
      <c r="I3" s="13"/>
      <c r="J3" s="13"/>
      <c r="K3" s="13"/>
    </row>
    <row r="4" spans="1:13">
      <c r="A4" s="3" t="str">
        <f>'O&amp;M'!A4</f>
        <v>Projected 2016</v>
      </c>
      <c r="B4" s="3"/>
      <c r="C4" s="13"/>
      <c r="D4" s="13"/>
      <c r="E4" s="13"/>
      <c r="F4" s="13"/>
      <c r="G4" s="13"/>
      <c r="H4" s="13"/>
      <c r="I4" s="13"/>
      <c r="J4" s="13"/>
      <c r="K4" s="13"/>
    </row>
    <row r="5" spans="1:13">
      <c r="A5" s="42"/>
      <c r="B5" s="42"/>
      <c r="M5" s="68"/>
    </row>
    <row r="6" spans="1:13">
      <c r="M6" s="68"/>
    </row>
    <row r="7" spans="1:13">
      <c r="E7" s="41" t="s">
        <v>181</v>
      </c>
      <c r="F7" s="41"/>
      <c r="G7" s="41"/>
      <c r="H7" s="41"/>
      <c r="I7" s="41"/>
      <c r="M7" s="68"/>
    </row>
    <row r="8" spans="1:13">
      <c r="E8" s="30" t="s">
        <v>26</v>
      </c>
      <c r="F8" s="30"/>
      <c r="G8" s="30" t="s">
        <v>28</v>
      </c>
      <c r="H8" s="30"/>
      <c r="I8" s="30" t="s">
        <v>27</v>
      </c>
      <c r="K8" s="11" t="s">
        <v>33</v>
      </c>
      <c r="M8" s="68"/>
    </row>
    <row r="9" spans="1:13">
      <c r="A9" t="s">
        <v>103</v>
      </c>
      <c r="E9" s="4" t="s">
        <v>29</v>
      </c>
      <c r="F9" s="30"/>
      <c r="G9" s="4" t="s">
        <v>96</v>
      </c>
      <c r="H9" s="30"/>
      <c r="I9" s="4" t="s">
        <v>40</v>
      </c>
      <c r="K9" s="4" t="s">
        <v>188</v>
      </c>
      <c r="M9" s="68"/>
    </row>
    <row r="10" spans="1:13">
      <c r="B10" s="22">
        <v>561.1</v>
      </c>
      <c r="C10" t="s">
        <v>93</v>
      </c>
      <c r="E10" s="12">
        <v>527534</v>
      </c>
      <c r="F10" s="12"/>
      <c r="G10" s="12">
        <v>28</v>
      </c>
      <c r="H10" s="12"/>
      <c r="I10" s="12">
        <f>E10-G10</f>
        <v>527506</v>
      </c>
      <c r="J10" s="12"/>
      <c r="K10" s="12">
        <f>ROUND(I10*$C$18,0)</f>
        <v>666768</v>
      </c>
      <c r="M10" s="68"/>
    </row>
    <row r="11" spans="1:13">
      <c r="B11" s="22">
        <v>561.20000000000005</v>
      </c>
      <c r="C11" t="s">
        <v>95</v>
      </c>
      <c r="E11" s="1">
        <v>1098571</v>
      </c>
      <c r="F11" s="1"/>
      <c r="G11" s="1">
        <v>200537</v>
      </c>
      <c r="H11" s="1"/>
      <c r="I11" s="1">
        <f>E11-G11</f>
        <v>898034</v>
      </c>
      <c r="K11" s="1">
        <f>ROUND(I11*$C$18,0)</f>
        <v>1135115</v>
      </c>
      <c r="M11" s="68"/>
    </row>
    <row r="12" spans="1:13">
      <c r="B12" s="22">
        <v>561.40000000000009</v>
      </c>
      <c r="C12" t="s">
        <v>78</v>
      </c>
      <c r="E12" s="1">
        <v>474915</v>
      </c>
      <c r="F12" s="1"/>
      <c r="G12" s="1"/>
      <c r="H12" s="1"/>
      <c r="I12" s="1">
        <f>E12-G12</f>
        <v>474915</v>
      </c>
      <c r="K12" s="1">
        <f>ROUND(I12*$C$18,0)</f>
        <v>600293</v>
      </c>
      <c r="M12" s="68"/>
    </row>
    <row r="13" spans="1:13">
      <c r="B13" s="22">
        <v>561.80000000000018</v>
      </c>
      <c r="C13" t="s">
        <v>79</v>
      </c>
      <c r="E13" s="1">
        <v>34596</v>
      </c>
      <c r="F13" s="1"/>
      <c r="G13" s="1"/>
      <c r="H13" s="1"/>
      <c r="I13" s="1">
        <f>E13-G13</f>
        <v>34596</v>
      </c>
      <c r="K13" s="1">
        <f>ROUND(I13*$C$18,0)</f>
        <v>43729</v>
      </c>
      <c r="M13" s="68"/>
    </row>
    <row r="14" spans="1:13" ht="13.5" thickBot="1">
      <c r="A14" t="s">
        <v>104</v>
      </c>
      <c r="E14" s="2">
        <f>SUM(E10:E13)</f>
        <v>2135616</v>
      </c>
      <c r="F14" s="1"/>
      <c r="G14" s="2">
        <f>SUM(G10:G13)</f>
        <v>200565</v>
      </c>
      <c r="H14" s="1"/>
      <c r="I14" s="2">
        <f>SUM(I10:I13)</f>
        <v>1935051</v>
      </c>
      <c r="K14" s="2">
        <f>SUM(K10:K13)</f>
        <v>2445905</v>
      </c>
      <c r="M14" s="68"/>
    </row>
    <row r="15" spans="1:13" ht="13.5" thickTop="1">
      <c r="M15" s="68"/>
    </row>
    <row r="16" spans="1:13">
      <c r="M16" s="68"/>
    </row>
    <row r="17" spans="1:11">
      <c r="A17" t="s">
        <v>196</v>
      </c>
    </row>
    <row r="18" spans="1:11">
      <c r="C18" s="81">
        <f>'561.BA'!I15</f>
        <v>1.264</v>
      </c>
    </row>
    <row r="19" spans="1:11">
      <c r="A19" s="45"/>
      <c r="B19" s="45"/>
      <c r="C19" s="45"/>
      <c r="D19" s="45"/>
      <c r="F19" s="45"/>
      <c r="G19" s="45"/>
    </row>
    <row r="20" spans="1:11">
      <c r="A20" s="34"/>
      <c r="B20" s="34"/>
      <c r="C20" s="34"/>
      <c r="D20" s="34"/>
      <c r="E20" s="34"/>
    </row>
    <row r="21" spans="1:11">
      <c r="K21" s="11" t="str">
        <f>K8</f>
        <v>Projected</v>
      </c>
    </row>
    <row r="22" spans="1:11">
      <c r="A22" t="s">
        <v>195</v>
      </c>
      <c r="K22" s="4">
        <v>2016</v>
      </c>
    </row>
    <row r="23" spans="1:11">
      <c r="B23">
        <f>B12</f>
        <v>561.40000000000009</v>
      </c>
      <c r="C23" t="str">
        <f>C12</f>
        <v>Scheduling, System Control &amp; Dispatch Services</v>
      </c>
      <c r="K23" s="1">
        <f>K12</f>
        <v>600293</v>
      </c>
    </row>
    <row r="24" spans="1:11">
      <c r="B24" s="68">
        <f>B13</f>
        <v>561.80000000000018</v>
      </c>
      <c r="C24" t="str">
        <f>C13</f>
        <v>Reliability, Planning and Standards Development Services</v>
      </c>
      <c r="K24" s="1">
        <f>K13</f>
        <v>43729</v>
      </c>
    </row>
    <row r="25" spans="1:11" ht="13.5" thickBot="1">
      <c r="K25" s="2">
        <f>SUM(K23:K24)</f>
        <v>644022</v>
      </c>
    </row>
    <row r="26" spans="1:11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J12" sqref="J12"/>
    </sheetView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10.7109375" bestFit="1" customWidth="1"/>
    <col min="15" max="15" width="10.5703125" bestFit="1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127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127</v>
      </c>
      <c r="L2" s="13"/>
      <c r="M2" s="13"/>
      <c r="N2" s="13"/>
    </row>
    <row r="3" spans="1:14">
      <c r="A3" s="3" t="s">
        <v>82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127</v>
      </c>
      <c r="L3" s="13"/>
      <c r="M3" s="13"/>
      <c r="N3" s="13"/>
    </row>
    <row r="4" spans="1:14">
      <c r="A4" s="3" t="str">
        <f>'Cover Page'!A7</f>
        <v>Projected 2016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127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127</v>
      </c>
    </row>
    <row r="6" spans="1:14">
      <c r="A6" s="35"/>
      <c r="D6" s="35"/>
    </row>
    <row r="7" spans="1:14">
      <c r="J7" s="11" t="s">
        <v>27</v>
      </c>
    </row>
    <row r="8" spans="1:14">
      <c r="J8" s="4" t="s">
        <v>40</v>
      </c>
    </row>
    <row r="9" spans="1:14">
      <c r="A9" t="s">
        <v>81</v>
      </c>
    </row>
    <row r="10" spans="1:14">
      <c r="B10" t="s">
        <v>74</v>
      </c>
      <c r="J10" s="11"/>
    </row>
    <row r="11" spans="1:14">
      <c r="C11" t="s">
        <v>75</v>
      </c>
      <c r="F11" s="12"/>
    </row>
    <row r="12" spans="1:14">
      <c r="D12" t="s">
        <v>78</v>
      </c>
      <c r="F12" s="12"/>
      <c r="J12" s="12">
        <f>'Acct 561 Load Dispatching'!K12</f>
        <v>600293</v>
      </c>
    </row>
    <row r="13" spans="1:14">
      <c r="C13" t="s">
        <v>76</v>
      </c>
      <c r="F13" s="1"/>
      <c r="J13" s="1"/>
    </row>
    <row r="14" spans="1:14">
      <c r="D14" t="s">
        <v>79</v>
      </c>
      <c r="F14" s="1"/>
      <c r="J14" s="1">
        <f>'Acct 561 Load Dispatching'!K13</f>
        <v>43729</v>
      </c>
    </row>
    <row r="15" spans="1:14" ht="13.5" thickBot="1">
      <c r="F15" s="1"/>
      <c r="J15" s="2">
        <f>SUM(J11:J14)</f>
        <v>644022</v>
      </c>
    </row>
    <row r="16" spans="1:14" ht="13.5" thickTop="1">
      <c r="F16" s="1"/>
      <c r="J16" s="1"/>
    </row>
    <row r="17" spans="2:10">
      <c r="F17" s="1"/>
      <c r="J17" s="1"/>
    </row>
    <row r="18" spans="2:10">
      <c r="B18" t="s">
        <v>77</v>
      </c>
      <c r="F18" s="1"/>
      <c r="J18" s="1"/>
    </row>
    <row r="19" spans="2:10" ht="13.5" thickBot="1">
      <c r="C19" t="s">
        <v>80</v>
      </c>
      <c r="F19" s="1"/>
      <c r="J19" s="82">
        <f>'O&amp;M'!F15+'O&amp;M'!F16</f>
        <v>17495820</v>
      </c>
    </row>
    <row r="20" spans="2:10" ht="13.5" thickTop="1">
      <c r="F20" s="1"/>
      <c r="J20" s="15"/>
    </row>
    <row r="21" spans="2:10">
      <c r="F21" s="1"/>
      <c r="J21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/>
  </sheetViews>
  <sheetFormatPr defaultRowHeight="12.75"/>
  <cols>
    <col min="1" max="2" width="2.7109375" customWidth="1"/>
    <col min="3" max="3" width="34.85546875" customWidth="1"/>
    <col min="4" max="4" width="2.7109375" customWidth="1"/>
    <col min="5" max="5" width="12.7109375" bestFit="1" customWidth="1"/>
    <col min="6" max="6" width="2.7109375" customWidth="1"/>
    <col min="7" max="7" width="12" bestFit="1" customWidth="1"/>
    <col min="8" max="8" width="2.7109375" customWidth="1"/>
    <col min="9" max="9" width="13.140625" bestFit="1" customWidth="1"/>
  </cols>
  <sheetData>
    <row r="1" spans="1:12">
      <c r="A1" s="3" t="s">
        <v>0</v>
      </c>
      <c r="B1" s="13"/>
      <c r="C1" s="13"/>
      <c r="D1" s="13"/>
      <c r="E1" s="13"/>
      <c r="F1" s="13" t="s">
        <v>127</v>
      </c>
      <c r="G1" s="13"/>
    </row>
    <row r="2" spans="1:12">
      <c r="A2" s="3" t="s">
        <v>2</v>
      </c>
      <c r="B2" s="13"/>
      <c r="C2" s="13"/>
      <c r="D2" s="13"/>
      <c r="E2" s="13"/>
      <c r="F2" s="13" t="s">
        <v>127</v>
      </c>
      <c r="G2" s="13"/>
    </row>
    <row r="3" spans="1:12">
      <c r="A3" s="3" t="s">
        <v>49</v>
      </c>
      <c r="B3" s="13"/>
      <c r="C3" s="13"/>
      <c r="D3" s="13"/>
      <c r="E3" s="13"/>
      <c r="F3" s="13" t="s">
        <v>127</v>
      </c>
      <c r="G3" s="13"/>
    </row>
    <row r="4" spans="1:12">
      <c r="A4" s="3" t="str">
        <f>'Cover Page'!A7</f>
        <v>Projected 2016</v>
      </c>
      <c r="B4" s="13"/>
      <c r="C4" s="13"/>
      <c r="D4" s="13"/>
      <c r="E4" s="13"/>
      <c r="F4" s="13" t="s">
        <v>127</v>
      </c>
      <c r="G4" s="13"/>
    </row>
    <row r="5" spans="1:12">
      <c r="A5" s="22"/>
    </row>
    <row r="7" spans="1:12">
      <c r="A7" t="str">
        <f>'O&amp;M'!A7</f>
        <v>Projected 2016 Total O&amp;M - Integrated System</v>
      </c>
      <c r="E7" s="12">
        <f>'O&amp;M'!F7</f>
        <v>190305658</v>
      </c>
    </row>
    <row r="8" spans="1:12">
      <c r="B8" s="68" t="s">
        <v>200</v>
      </c>
      <c r="C8" s="68"/>
      <c r="D8" s="68"/>
      <c r="E8" s="1">
        <v>98109713</v>
      </c>
    </row>
    <row r="9" spans="1:12">
      <c r="B9" s="68"/>
      <c r="C9" s="68"/>
      <c r="D9" s="68"/>
      <c r="E9" s="29">
        <f>E7-E8</f>
        <v>92195945</v>
      </c>
    </row>
    <row r="10" spans="1:12">
      <c r="C10" s="68" t="s">
        <v>210</v>
      </c>
      <c r="D10" s="68"/>
      <c r="E10" s="83">
        <f>E20</f>
        <v>0.26778200000000002</v>
      </c>
    </row>
    <row r="11" spans="1:12" ht="13.5" thickBot="1">
      <c r="B11" t="s">
        <v>211</v>
      </c>
      <c r="E11" s="40">
        <f>ROUND(E9*E10,0)</f>
        <v>24688415</v>
      </c>
      <c r="F11" s="68"/>
    </row>
    <row r="12" spans="1:12" ht="13.5" thickTop="1"/>
    <row r="14" spans="1:12" s="68" customFormat="1">
      <c r="A14"/>
      <c r="B14"/>
      <c r="C14"/>
      <c r="D14"/>
      <c r="E14"/>
      <c r="G14"/>
      <c r="H14"/>
      <c r="I14"/>
      <c r="J14"/>
      <c r="K14"/>
      <c r="L14"/>
    </row>
    <row r="16" spans="1:12">
      <c r="A16" s="68" t="s">
        <v>212</v>
      </c>
      <c r="B16" s="68"/>
      <c r="C16" s="68"/>
      <c r="D16" s="68"/>
      <c r="E16" s="68"/>
    </row>
    <row r="17" spans="1:12">
      <c r="A17" s="68"/>
      <c r="B17" s="68"/>
      <c r="C17" s="36" t="s">
        <v>213</v>
      </c>
      <c r="E17" s="1">
        <v>18586669</v>
      </c>
      <c r="F17" s="68"/>
      <c r="G17" s="68"/>
      <c r="H17" s="68"/>
      <c r="I17" s="68"/>
      <c r="J17" s="68"/>
      <c r="K17" s="68"/>
      <c r="L17" s="68"/>
    </row>
    <row r="18" spans="1:12">
      <c r="A18" s="68"/>
      <c r="B18" s="68"/>
      <c r="C18" s="36" t="s">
        <v>207</v>
      </c>
    </row>
    <row r="19" spans="1:12">
      <c r="A19" s="68"/>
      <c r="B19" s="68"/>
      <c r="C19" s="36" t="s">
        <v>637</v>
      </c>
      <c r="D19" s="68"/>
      <c r="E19" s="31">
        <v>69409649</v>
      </c>
    </row>
    <row r="20" spans="1:12">
      <c r="A20" s="68"/>
      <c r="B20" s="68"/>
      <c r="C20" s="68"/>
      <c r="D20" s="68"/>
      <c r="E20" s="83">
        <f>ROUND(E17/E19,6)</f>
        <v>0.26778200000000002</v>
      </c>
      <c r="I20" s="68"/>
    </row>
    <row r="21" spans="1:12">
      <c r="E21" s="12"/>
      <c r="I21" s="68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/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  <col min="9" max="9" width="12" bestFit="1" customWidth="1"/>
    <col min="10" max="10" width="8.140625" bestFit="1" customWidth="1"/>
    <col min="12" max="12" width="8.140625" bestFit="1" customWidth="1"/>
  </cols>
  <sheetData>
    <row r="1" spans="1:12">
      <c r="A1" s="3" t="s">
        <v>0</v>
      </c>
      <c r="B1" s="13"/>
      <c r="C1" s="13"/>
      <c r="D1" s="13"/>
      <c r="E1" s="13"/>
      <c r="F1" s="13"/>
      <c r="G1" s="13"/>
    </row>
    <row r="2" spans="1:12">
      <c r="A2" s="3" t="s">
        <v>2</v>
      </c>
      <c r="B2" s="13"/>
      <c r="C2" s="13"/>
      <c r="D2" s="13"/>
      <c r="E2" s="13"/>
      <c r="F2" s="13"/>
      <c r="G2" s="13"/>
    </row>
    <row r="3" spans="1:12">
      <c r="A3" s="3" t="s">
        <v>51</v>
      </c>
      <c r="B3" s="13"/>
      <c r="C3" s="13"/>
      <c r="D3" s="13"/>
      <c r="E3" s="13"/>
      <c r="F3" s="13"/>
      <c r="G3" s="13"/>
    </row>
    <row r="4" spans="1:12">
      <c r="A4" s="3" t="str">
        <f>'Cover Page'!A7</f>
        <v>Projected 2016</v>
      </c>
      <c r="B4" s="13"/>
      <c r="C4" s="13"/>
      <c r="D4" s="13"/>
      <c r="E4" s="13"/>
      <c r="F4" s="13"/>
      <c r="G4" s="13"/>
    </row>
    <row r="5" spans="1:12">
      <c r="A5" s="22"/>
    </row>
    <row r="7" spans="1:12">
      <c r="E7" s="11" t="s">
        <v>26</v>
      </c>
      <c r="G7" s="11" t="s">
        <v>27</v>
      </c>
    </row>
    <row r="8" spans="1:12">
      <c r="A8" t="s">
        <v>55</v>
      </c>
      <c r="E8" s="4" t="s">
        <v>29</v>
      </c>
      <c r="G8" s="4" t="s">
        <v>123</v>
      </c>
    </row>
    <row r="9" spans="1:12">
      <c r="B9" t="s">
        <v>122</v>
      </c>
      <c r="I9" s="68"/>
      <c r="J9" s="68"/>
      <c r="K9" s="68"/>
      <c r="L9" s="68"/>
    </row>
    <row r="10" spans="1:12">
      <c r="C10" s="9" t="s">
        <v>189</v>
      </c>
      <c r="E10" s="72">
        <v>20300</v>
      </c>
      <c r="I10" s="68"/>
      <c r="J10" s="68"/>
      <c r="K10" s="68"/>
      <c r="L10" s="68"/>
    </row>
    <row r="11" spans="1:12">
      <c r="C11" t="s">
        <v>11</v>
      </c>
      <c r="E11" s="48">
        <v>16604</v>
      </c>
      <c r="I11" s="68"/>
      <c r="J11" s="68"/>
      <c r="K11" s="68"/>
      <c r="L11" s="68"/>
    </row>
    <row r="12" spans="1:12">
      <c r="C12" t="s">
        <v>12</v>
      </c>
      <c r="E12" s="48">
        <v>16122</v>
      </c>
      <c r="I12" s="68"/>
      <c r="J12" s="68"/>
      <c r="K12" s="68"/>
      <c r="L12" s="68"/>
    </row>
    <row r="13" spans="1:12">
      <c r="C13" t="s">
        <v>13</v>
      </c>
      <c r="E13" s="48">
        <v>19109</v>
      </c>
      <c r="I13" s="68"/>
      <c r="J13" s="68"/>
      <c r="K13" s="68"/>
      <c r="L13" s="68"/>
    </row>
    <row r="14" spans="1:12">
      <c r="C14" t="s">
        <v>14</v>
      </c>
      <c r="E14" s="48">
        <v>20337</v>
      </c>
      <c r="I14" s="68"/>
      <c r="J14" s="68"/>
      <c r="K14" s="68"/>
      <c r="L14" s="68"/>
    </row>
    <row r="15" spans="1:12">
      <c r="C15" s="9" t="s">
        <v>18</v>
      </c>
      <c r="E15" s="48">
        <v>21077</v>
      </c>
      <c r="I15" s="68"/>
      <c r="J15" s="68"/>
      <c r="K15" s="68"/>
      <c r="L15" s="68"/>
    </row>
    <row r="16" spans="1:12">
      <c r="C16" t="s">
        <v>4</v>
      </c>
      <c r="E16" s="48">
        <v>17868</v>
      </c>
      <c r="I16" s="68"/>
      <c r="J16" s="68"/>
      <c r="K16" s="68"/>
      <c r="L16" s="68"/>
    </row>
    <row r="17" spans="1:12">
      <c r="C17" t="s">
        <v>5</v>
      </c>
      <c r="E17" s="48">
        <v>19376</v>
      </c>
      <c r="I17" s="68"/>
      <c r="J17" s="68"/>
      <c r="K17" s="68"/>
      <c r="L17" s="68"/>
    </row>
    <row r="18" spans="1:12">
      <c r="C18" t="s">
        <v>6</v>
      </c>
      <c r="E18" s="48">
        <v>13491</v>
      </c>
      <c r="I18" s="68"/>
      <c r="J18" s="68"/>
      <c r="K18" s="68"/>
      <c r="L18" s="68"/>
    </row>
    <row r="19" spans="1:12">
      <c r="C19" t="s">
        <v>7</v>
      </c>
      <c r="E19" s="48">
        <v>14754</v>
      </c>
      <c r="I19" s="68"/>
      <c r="J19" s="68"/>
      <c r="K19" s="68"/>
      <c r="L19" s="68"/>
    </row>
    <row r="20" spans="1:12">
      <c r="C20" t="s">
        <v>8</v>
      </c>
      <c r="E20" s="48">
        <v>20111</v>
      </c>
      <c r="I20" s="68"/>
      <c r="J20" s="68"/>
      <c r="K20" s="68"/>
      <c r="L20" s="68"/>
    </row>
    <row r="21" spans="1:12">
      <c r="C21" t="s">
        <v>9</v>
      </c>
      <c r="E21" s="48">
        <v>21927</v>
      </c>
      <c r="I21" s="68"/>
      <c r="J21" s="68"/>
      <c r="K21" s="68"/>
      <c r="L21" s="68"/>
    </row>
    <row r="22" spans="1:12">
      <c r="E22" s="80">
        <f>SUM(E10:E21)</f>
        <v>221076</v>
      </c>
      <c r="G22" s="12">
        <f>ROUND(E22*$E$31,0)</f>
        <v>202647</v>
      </c>
      <c r="I22" s="68"/>
      <c r="J22" s="68"/>
      <c r="K22" s="68"/>
      <c r="L22" s="68"/>
    </row>
    <row r="23" spans="1:12">
      <c r="E23" s="24"/>
      <c r="G23" s="1"/>
      <c r="I23" s="68"/>
      <c r="J23" s="68"/>
      <c r="K23" s="68"/>
      <c r="L23" s="68"/>
    </row>
    <row r="24" spans="1:12">
      <c r="B24" t="s">
        <v>125</v>
      </c>
      <c r="E24" s="48">
        <f>5634-1029</f>
        <v>4605</v>
      </c>
      <c r="F24" s="1"/>
      <c r="G24" s="1">
        <f>ROUND(E24*$E$31,0)</f>
        <v>4221</v>
      </c>
      <c r="I24" s="68"/>
      <c r="J24" s="68"/>
      <c r="K24" s="68"/>
      <c r="L24" s="68"/>
    </row>
    <row r="25" spans="1:12">
      <c r="E25" s="1"/>
      <c r="G25" s="1"/>
      <c r="I25" s="68"/>
      <c r="J25" s="68"/>
      <c r="K25" s="68"/>
      <c r="L25" s="68"/>
    </row>
    <row r="26" spans="1:12" ht="13.5" thickBot="1">
      <c r="A26" t="s">
        <v>126</v>
      </c>
      <c r="E26" s="2">
        <f>E22+E24</f>
        <v>225681</v>
      </c>
      <c r="G26" s="2">
        <f>G22+G24</f>
        <v>206868</v>
      </c>
      <c r="I26" s="68"/>
      <c r="J26" s="68"/>
      <c r="K26" s="68"/>
      <c r="L26" s="68"/>
    </row>
    <row r="27" spans="1:12" ht="13.5" thickTop="1">
      <c r="E27" s="1"/>
      <c r="G27" s="1"/>
      <c r="I27" s="68"/>
      <c r="J27" s="68"/>
      <c r="K27" s="68"/>
      <c r="L27" s="68"/>
    </row>
    <row r="28" spans="1:12">
      <c r="A28" t="s">
        <v>190</v>
      </c>
      <c r="I28" s="68"/>
      <c r="J28" s="68"/>
      <c r="K28" s="68"/>
      <c r="L28" s="68"/>
    </row>
    <row r="29" spans="1:12">
      <c r="C29" t="s">
        <v>53</v>
      </c>
      <c r="E29" s="72">
        <v>332860</v>
      </c>
    </row>
    <row r="30" spans="1:12">
      <c r="C30" t="s">
        <v>54</v>
      </c>
      <c r="E30" s="48">
        <v>27747</v>
      </c>
      <c r="F30" s="12"/>
    </row>
    <row r="31" spans="1:12">
      <c r="C31" t="s">
        <v>124</v>
      </c>
      <c r="E31" s="20">
        <f>ROUND((E29-E30)/E29,5)</f>
        <v>0.91664000000000001</v>
      </c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"/>
      <c r="B5" s="13"/>
      <c r="C5" s="13"/>
      <c r="D5" s="13"/>
      <c r="E5" s="13"/>
      <c r="F5" s="13"/>
      <c r="G5" s="13"/>
    </row>
    <row r="6" spans="1:11">
      <c r="A6" s="3"/>
      <c r="B6" s="13"/>
      <c r="C6" s="13"/>
      <c r="D6" s="13"/>
      <c r="E6" s="13"/>
      <c r="F6" s="13"/>
      <c r="G6" s="13"/>
    </row>
    <row r="7" spans="1:11">
      <c r="A7" s="22"/>
      <c r="E7" s="30" t="s">
        <v>59</v>
      </c>
      <c r="G7" s="11"/>
    </row>
    <row r="8" spans="1:11">
      <c r="E8" s="4" t="s">
        <v>36</v>
      </c>
      <c r="G8" s="4">
        <v>2014</v>
      </c>
      <c r="I8" s="4">
        <v>2013</v>
      </c>
      <c r="K8" s="4">
        <v>2012</v>
      </c>
    </row>
    <row r="9" spans="1:11">
      <c r="A9" t="s">
        <v>57</v>
      </c>
      <c r="E9" s="11"/>
      <c r="G9" s="11"/>
      <c r="I9" s="11"/>
      <c r="K9" s="11"/>
    </row>
    <row r="10" spans="1:11">
      <c r="A10" t="s">
        <v>58</v>
      </c>
    </row>
    <row r="11" spans="1:11">
      <c r="B11" t="s">
        <v>50</v>
      </c>
      <c r="E11" s="12"/>
      <c r="G11" s="12"/>
      <c r="I11" s="12"/>
      <c r="K11" s="12">
        <v>254458</v>
      </c>
    </row>
    <row r="12" spans="1:11">
      <c r="B12" t="s">
        <v>60</v>
      </c>
      <c r="E12" s="31"/>
      <c r="G12" s="1"/>
      <c r="I12" s="1"/>
      <c r="K12" s="1">
        <v>25525</v>
      </c>
    </row>
    <row r="13" spans="1:11">
      <c r="C13" t="s">
        <v>52</v>
      </c>
      <c r="E13" s="16">
        <f>ROUND(AVERAGE(G13:K13),0)</f>
        <v>209360</v>
      </c>
      <c r="G13" s="32">
        <v>56391</v>
      </c>
      <c r="I13" s="29">
        <v>342756</v>
      </c>
      <c r="K13" s="29">
        <v>228933</v>
      </c>
    </row>
    <row r="14" spans="1:11">
      <c r="E14" s="10"/>
      <c r="F14" s="10"/>
      <c r="G14" s="10"/>
      <c r="H14" s="10"/>
      <c r="I14" s="10"/>
      <c r="J14" s="10"/>
      <c r="K14" s="10"/>
    </row>
    <row r="15" spans="1:11">
      <c r="A15" t="s">
        <v>57</v>
      </c>
      <c r="E15" s="11"/>
      <c r="G15" s="11"/>
      <c r="I15" s="11"/>
      <c r="K15" s="11"/>
    </row>
    <row r="16" spans="1:11">
      <c r="A16" t="s">
        <v>61</v>
      </c>
    </row>
    <row r="17" spans="1:11">
      <c r="B17" t="s">
        <v>50</v>
      </c>
      <c r="E17" s="12"/>
      <c r="G17" s="12">
        <v>73527</v>
      </c>
      <c r="I17" s="12">
        <v>51607</v>
      </c>
      <c r="K17" s="12">
        <v>60448</v>
      </c>
    </row>
    <row r="18" spans="1:11">
      <c r="B18" t="s">
        <v>60</v>
      </c>
      <c r="E18" s="31"/>
      <c r="G18" s="1">
        <v>3022</v>
      </c>
      <c r="I18" s="1">
        <v>2238</v>
      </c>
      <c r="K18" s="1">
        <v>2612</v>
      </c>
    </row>
    <row r="19" spans="1:11">
      <c r="C19" t="s">
        <v>62</v>
      </c>
      <c r="E19" s="16">
        <f>ROUND(AVERAGE(G19:K19),0)</f>
        <v>59237</v>
      </c>
      <c r="G19" s="29">
        <f>G17-G18</f>
        <v>70505</v>
      </c>
      <c r="I19" s="29">
        <v>49369</v>
      </c>
      <c r="K19" s="29">
        <v>57836</v>
      </c>
    </row>
    <row r="20" spans="1:11">
      <c r="E20" s="10"/>
      <c r="F20" s="10"/>
      <c r="G20" s="10"/>
      <c r="H20" s="10"/>
      <c r="I20" s="10"/>
      <c r="J20" s="10"/>
      <c r="K20" s="10"/>
    </row>
    <row r="21" spans="1:11" ht="13.5" thickBot="1">
      <c r="A21" t="s">
        <v>63</v>
      </c>
      <c r="E21" s="33">
        <f>E13+E19</f>
        <v>268597</v>
      </c>
      <c r="G21" s="33">
        <f>G13+G19</f>
        <v>126896</v>
      </c>
      <c r="I21" s="33">
        <v>392125</v>
      </c>
      <c r="K21" s="33">
        <v>286769</v>
      </c>
    </row>
    <row r="22" spans="1:11" ht="13.5" thickTop="1"/>
    <row r="24" spans="1:11">
      <c r="E24" s="34"/>
    </row>
    <row r="25" spans="1:11">
      <c r="E25" s="34"/>
    </row>
    <row r="26" spans="1:11">
      <c r="E26" s="3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2.75"/>
  <cols>
    <col min="1" max="2" width="2.7109375" customWidth="1"/>
    <col min="3" max="3" width="18.5703125" customWidth="1"/>
    <col min="4" max="4" width="2.7109375" customWidth="1"/>
    <col min="5" max="5" width="11.85546875" bestFit="1" customWidth="1"/>
    <col min="6" max="6" width="2.7109375" customWidth="1"/>
    <col min="7" max="7" width="10.7109375" bestFit="1" customWidth="1"/>
    <col min="8" max="8" width="2.7109375" customWidth="1"/>
    <col min="9" max="9" width="10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88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2016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2"/>
      <c r="E7" s="11"/>
      <c r="F7" s="30"/>
      <c r="G7" s="30"/>
      <c r="H7" s="30"/>
      <c r="I7" s="30"/>
    </row>
    <row r="8" spans="1:9">
      <c r="E8" s="4" t="s">
        <v>21</v>
      </c>
      <c r="F8" s="30"/>
      <c r="G8" s="4" t="s">
        <v>23</v>
      </c>
      <c r="H8" s="30"/>
      <c r="I8" s="4" t="s">
        <v>25</v>
      </c>
    </row>
    <row r="9" spans="1:9">
      <c r="A9" t="s">
        <v>88</v>
      </c>
    </row>
    <row r="10" spans="1:9">
      <c r="C10" t="s">
        <v>42</v>
      </c>
      <c r="E10" s="16">
        <v>4858932</v>
      </c>
      <c r="F10" s="16"/>
      <c r="G10" s="16">
        <v>1770982</v>
      </c>
      <c r="H10" s="16"/>
      <c r="I10" s="16">
        <v>1813510</v>
      </c>
    </row>
    <row r="11" spans="1:9">
      <c r="C11" t="s">
        <v>156</v>
      </c>
      <c r="E11" s="1"/>
      <c r="F11" s="1"/>
      <c r="G11" s="1">
        <v>362369</v>
      </c>
      <c r="H11" s="1"/>
      <c r="I11" s="1"/>
    </row>
    <row r="12" spans="1:9" s="68" customFormat="1" ht="13.5" thickBot="1">
      <c r="E12" s="2">
        <f>SUM(E10:E11)</f>
        <v>4858932</v>
      </c>
      <c r="F12" s="1"/>
      <c r="G12" s="2">
        <f>SUM(G10:G11)</f>
        <v>2133351</v>
      </c>
      <c r="H12" s="1"/>
      <c r="I12" s="2">
        <f>SUM(I10:I11)</f>
        <v>1813510</v>
      </c>
    </row>
    <row r="13" spans="1:9" s="68" customFormat="1" ht="13.5" thickTop="1">
      <c r="E13" s="1"/>
      <c r="F13" s="1"/>
      <c r="G13" s="1"/>
      <c r="H13" s="1"/>
      <c r="I13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/>
  </sheetViews>
  <sheetFormatPr defaultRowHeight="12.75"/>
  <cols>
    <col min="1" max="2" width="2.7109375" style="24" customWidth="1"/>
    <col min="3" max="3" width="22.28515625" style="24" customWidth="1"/>
    <col min="4" max="4" width="2.7109375" style="24" customWidth="1"/>
    <col min="5" max="5" width="10.7109375" style="24" bestFit="1" customWidth="1"/>
    <col min="6" max="6" width="2.7109375" style="24" customWidth="1"/>
    <col min="7" max="7" width="9.85546875" style="24" bestFit="1" customWidth="1"/>
    <col min="8" max="8" width="2.7109375" style="24" customWidth="1"/>
    <col min="9" max="9" width="9.7109375" style="24" bestFit="1" customWidth="1"/>
    <col min="10" max="16384" width="9.140625" style="24"/>
  </cols>
  <sheetData>
    <row r="1" spans="1:9">
      <c r="A1" s="23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23" t="s">
        <v>2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23" t="s">
        <v>64</v>
      </c>
      <c r="B3" s="114"/>
      <c r="C3" s="114"/>
      <c r="D3" s="114"/>
      <c r="E3" s="114"/>
      <c r="F3" s="114"/>
      <c r="G3" s="114"/>
      <c r="H3" s="114"/>
      <c r="I3" s="114"/>
    </row>
    <row r="4" spans="1:9">
      <c r="A4" s="23" t="str">
        <f>'Cover Page'!A7</f>
        <v>Projected 2016</v>
      </c>
      <c r="B4" s="114"/>
      <c r="C4" s="114"/>
      <c r="D4" s="114"/>
      <c r="E4" s="114"/>
      <c r="F4" s="114"/>
      <c r="G4" s="114"/>
      <c r="H4" s="114"/>
      <c r="I4" s="114"/>
    </row>
    <row r="5" spans="1:9">
      <c r="A5" s="23"/>
      <c r="B5" s="114"/>
      <c r="C5" s="114"/>
      <c r="D5" s="114"/>
      <c r="E5" s="114"/>
    </row>
    <row r="6" spans="1:9">
      <c r="A6" s="23"/>
      <c r="B6" s="114"/>
      <c r="C6" s="114"/>
      <c r="D6" s="114"/>
    </row>
    <row r="7" spans="1:9">
      <c r="A7" s="130"/>
      <c r="E7" s="116" t="s">
        <v>27</v>
      </c>
    </row>
    <row r="8" spans="1:9">
      <c r="E8" s="117" t="s">
        <v>40</v>
      </c>
    </row>
    <row r="9" spans="1:9">
      <c r="A9" s="24" t="s">
        <v>65</v>
      </c>
      <c r="E9" s="48"/>
    </row>
    <row r="10" spans="1:9">
      <c r="B10" s="24" t="s">
        <v>67</v>
      </c>
      <c r="E10" s="72">
        <v>2173871</v>
      </c>
    </row>
    <row r="11" spans="1:9">
      <c r="B11" s="24" t="s">
        <v>157</v>
      </c>
      <c r="E11" s="48">
        <v>3942</v>
      </c>
    </row>
    <row r="12" spans="1:9">
      <c r="B12" s="24" t="s">
        <v>116</v>
      </c>
      <c r="E12" s="48">
        <v>265219</v>
      </c>
    </row>
    <row r="13" spans="1:9">
      <c r="B13" s="24" t="s">
        <v>66</v>
      </c>
      <c r="E13" s="48">
        <v>7458882</v>
      </c>
    </row>
    <row r="14" spans="1:9">
      <c r="B14" s="24" t="s">
        <v>68</v>
      </c>
      <c r="E14" s="48">
        <v>1184055</v>
      </c>
    </row>
    <row r="15" spans="1:9">
      <c r="B15" s="24" t="s">
        <v>117</v>
      </c>
      <c r="E15" s="48">
        <v>176210</v>
      </c>
    </row>
    <row r="16" spans="1:9" ht="13.5" thickBot="1">
      <c r="A16" s="24" t="s">
        <v>69</v>
      </c>
      <c r="E16" s="119">
        <f>SUM(E10:E15)</f>
        <v>11262179</v>
      </c>
    </row>
    <row r="17" spans="1:9" ht="13.5" thickTop="1"/>
    <row r="18" spans="1:9">
      <c r="E18" s="47"/>
      <c r="G18" s="116" t="s">
        <v>120</v>
      </c>
      <c r="I18" s="116" t="s">
        <v>33</v>
      </c>
    </row>
    <row r="19" spans="1:9">
      <c r="A19" s="24" t="s">
        <v>158</v>
      </c>
      <c r="E19" s="131" t="s">
        <v>191</v>
      </c>
      <c r="G19" s="117" t="s">
        <v>159</v>
      </c>
      <c r="I19" s="117">
        <v>2016</v>
      </c>
    </row>
    <row r="20" spans="1:9">
      <c r="B20" s="24" t="s">
        <v>67</v>
      </c>
      <c r="E20" s="48">
        <v>2051191</v>
      </c>
      <c r="G20" s="122">
        <v>0.99819000000000002</v>
      </c>
      <c r="I20" s="80">
        <v>2173871</v>
      </c>
    </row>
    <row r="21" spans="1:9">
      <c r="B21" s="24" t="s">
        <v>157</v>
      </c>
      <c r="E21" s="48">
        <v>3710</v>
      </c>
      <c r="G21" s="122">
        <v>1.81E-3</v>
      </c>
      <c r="I21" s="91">
        <v>3942</v>
      </c>
    </row>
    <row r="22" spans="1:9" ht="13.5" thickBot="1">
      <c r="E22" s="119">
        <f>SUM(E20:E21)</f>
        <v>2054901</v>
      </c>
      <c r="G22" s="132">
        <f>SUM(G20:G21)</f>
        <v>1</v>
      </c>
      <c r="I22" s="82">
        <v>2177813</v>
      </c>
    </row>
    <row r="23" spans="1:9" ht="13.5" thickTop="1"/>
    <row r="24" spans="1:9">
      <c r="E24" s="47"/>
      <c r="G24" s="116" t="s">
        <v>120</v>
      </c>
      <c r="I24" s="116" t="s">
        <v>33</v>
      </c>
    </row>
    <row r="25" spans="1:9">
      <c r="A25" s="24" t="s">
        <v>121</v>
      </c>
      <c r="E25" s="133"/>
      <c r="G25" s="117" t="s">
        <v>159</v>
      </c>
      <c r="I25" s="117">
        <v>2016</v>
      </c>
    </row>
    <row r="26" spans="1:9">
      <c r="C26" s="24" t="s">
        <v>118</v>
      </c>
      <c r="E26" s="47"/>
      <c r="G26" s="122">
        <v>0.60082000000000002</v>
      </c>
      <c r="I26" s="80">
        <v>265219</v>
      </c>
    </row>
    <row r="27" spans="1:9">
      <c r="C27" s="24" t="s">
        <v>119</v>
      </c>
      <c r="E27" s="47"/>
      <c r="G27" s="122">
        <v>0.39917999999999998</v>
      </c>
      <c r="I27" s="91">
        <v>176210</v>
      </c>
    </row>
    <row r="28" spans="1:9" ht="13.5" thickBot="1">
      <c r="E28" s="47"/>
      <c r="G28" s="132">
        <f>SUM(G26:G27)</f>
        <v>1</v>
      </c>
      <c r="I28" s="82">
        <v>441429</v>
      </c>
    </row>
    <row r="29" spans="1:9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zoomScale="80" zoomScaleNormal="80" workbookViewId="0"/>
  </sheetViews>
  <sheetFormatPr defaultColWidth="9.140625" defaultRowHeight="15.75"/>
  <cols>
    <col min="1" max="1" width="7.7109375" style="134" customWidth="1"/>
    <col min="2" max="2" width="1.85546875" style="134" customWidth="1"/>
    <col min="3" max="3" width="55.28515625" style="134" customWidth="1"/>
    <col min="4" max="4" width="35.140625" style="134" customWidth="1"/>
    <col min="5" max="5" width="17.85546875" style="134" customWidth="1"/>
    <col min="6" max="6" width="7.7109375" style="134" customWidth="1"/>
    <col min="7" max="7" width="7.28515625" style="134" customWidth="1"/>
    <col min="8" max="8" width="13.7109375" style="134" customWidth="1"/>
    <col min="9" max="9" width="7.42578125" style="134" customWidth="1"/>
    <col min="10" max="10" width="16.42578125" style="134" customWidth="1"/>
    <col min="11" max="11" width="4.42578125" style="134" customWidth="1"/>
    <col min="12" max="12" width="11.140625" style="199" customWidth="1"/>
    <col min="13" max="13" width="0.85546875" style="134" customWidth="1"/>
    <col min="14" max="14" width="14.140625" style="134" customWidth="1"/>
    <col min="15" max="15" width="15.140625" style="134" customWidth="1"/>
    <col min="16" max="16" width="9.140625" style="134"/>
    <col min="17" max="17" width="20" style="134" customWidth="1"/>
    <col min="18" max="16384" width="9.140625" style="134"/>
  </cols>
  <sheetData>
    <row r="1" spans="1:17">
      <c r="C1" s="135"/>
      <c r="D1" s="135"/>
      <c r="E1" s="136"/>
      <c r="F1" s="135"/>
      <c r="G1" s="135"/>
      <c r="H1" s="135"/>
      <c r="I1" s="137"/>
      <c r="J1" s="138"/>
      <c r="K1" s="138"/>
      <c r="L1" s="139"/>
      <c r="O1" s="346" t="s">
        <v>263</v>
      </c>
      <c r="P1" s="347"/>
      <c r="Q1" s="348"/>
    </row>
    <row r="2" spans="1:17">
      <c r="C2" s="135"/>
      <c r="D2" s="135"/>
      <c r="E2" s="136"/>
      <c r="F2" s="135"/>
      <c r="G2" s="135"/>
      <c r="H2" s="135"/>
      <c r="I2" s="137"/>
      <c r="J2" s="137"/>
      <c r="L2" s="140" t="s">
        <v>17</v>
      </c>
      <c r="O2" s="349"/>
      <c r="P2" s="350"/>
      <c r="Q2" s="351"/>
    </row>
    <row r="3" spans="1:17">
      <c r="C3" s="135"/>
      <c r="D3" s="135"/>
      <c r="E3" s="136"/>
      <c r="F3" s="135"/>
      <c r="G3" s="135"/>
      <c r="H3" s="135"/>
      <c r="I3" s="137"/>
      <c r="J3" s="137"/>
      <c r="K3" s="141"/>
      <c r="L3" s="142" t="s">
        <v>264</v>
      </c>
      <c r="O3" s="349"/>
      <c r="P3" s="350"/>
      <c r="Q3" s="351"/>
    </row>
    <row r="4" spans="1:17">
      <c r="C4" s="135"/>
      <c r="D4" s="135"/>
      <c r="E4" s="136"/>
      <c r="F4" s="135"/>
      <c r="G4" s="135"/>
      <c r="H4" s="135"/>
      <c r="I4" s="137"/>
      <c r="J4" s="137"/>
      <c r="K4" s="141"/>
      <c r="L4" s="143"/>
      <c r="O4" s="352"/>
      <c r="P4" s="353"/>
      <c r="Q4" s="354"/>
    </row>
    <row r="5" spans="1:17">
      <c r="C5" s="135" t="s">
        <v>265</v>
      </c>
      <c r="D5" s="135"/>
      <c r="E5" s="136" t="s">
        <v>266</v>
      </c>
      <c r="F5" s="135"/>
      <c r="G5" s="135"/>
      <c r="H5" s="135"/>
      <c r="I5" s="137"/>
      <c r="J5" s="144" t="s">
        <v>267</v>
      </c>
      <c r="K5" s="145"/>
      <c r="L5" s="145"/>
    </row>
    <row r="6" spans="1:17">
      <c r="C6" s="135"/>
      <c r="D6" s="146" t="s">
        <v>127</v>
      </c>
      <c r="E6" s="146" t="s">
        <v>268</v>
      </c>
      <c r="F6" s="146"/>
      <c r="G6" s="146"/>
      <c r="H6" s="146"/>
      <c r="I6" s="137"/>
      <c r="J6" s="137"/>
      <c r="K6" s="141"/>
      <c r="L6" s="143"/>
    </row>
    <row r="7" spans="1:17">
      <c r="C7" s="141"/>
      <c r="D7" s="141"/>
      <c r="E7" s="141"/>
      <c r="F7" s="141"/>
      <c r="G7" s="141"/>
      <c r="H7" s="141"/>
      <c r="I7" s="141"/>
      <c r="J7" s="141"/>
      <c r="K7" s="141"/>
      <c r="L7" s="143"/>
    </row>
    <row r="8" spans="1:17">
      <c r="A8" s="147"/>
      <c r="C8" s="141"/>
      <c r="D8" s="141"/>
      <c r="E8" s="148" t="s">
        <v>0</v>
      </c>
      <c r="F8" s="149"/>
      <c r="G8" s="149"/>
      <c r="H8" s="141"/>
      <c r="I8" s="141"/>
      <c r="J8" s="141"/>
      <c r="K8" s="141"/>
      <c r="L8" s="143"/>
    </row>
    <row r="9" spans="1:17">
      <c r="A9" s="147"/>
      <c r="C9" s="141"/>
      <c r="D9" s="141"/>
      <c r="E9" s="150"/>
      <c r="F9" s="141"/>
      <c r="G9" s="141"/>
      <c r="H9" s="141"/>
      <c r="I9" s="141"/>
      <c r="J9" s="141"/>
      <c r="K9" s="141"/>
      <c r="L9" s="143"/>
    </row>
    <row r="10" spans="1:17">
      <c r="A10" s="147" t="s">
        <v>269</v>
      </c>
      <c r="C10" s="141"/>
      <c r="D10" s="141"/>
      <c r="E10" s="150"/>
      <c r="F10" s="141"/>
      <c r="G10" s="141"/>
      <c r="H10" s="141"/>
      <c r="I10" s="141"/>
      <c r="J10" s="147" t="s">
        <v>41</v>
      </c>
      <c r="K10" s="141"/>
      <c r="L10" s="143"/>
    </row>
    <row r="11" spans="1:17" ht="16.5" thickBot="1">
      <c r="A11" s="151" t="s">
        <v>270</v>
      </c>
      <c r="C11" s="141"/>
      <c r="D11" s="141"/>
      <c r="E11" s="141"/>
      <c r="F11" s="141"/>
      <c r="G11" s="141"/>
      <c r="H11" s="141"/>
      <c r="I11" s="141"/>
      <c r="J11" s="151" t="s">
        <v>271</v>
      </c>
      <c r="K11" s="141"/>
      <c r="L11" s="143"/>
    </row>
    <row r="12" spans="1:17">
      <c r="A12" s="147">
        <v>1</v>
      </c>
      <c r="C12" s="141" t="s">
        <v>272</v>
      </c>
      <c r="D12" s="141"/>
      <c r="E12" s="152"/>
      <c r="F12" s="141"/>
      <c r="G12" s="141"/>
      <c r="H12" s="141"/>
      <c r="I12" s="141"/>
      <c r="J12" s="153">
        <f>+J225</f>
        <v>34721104.498916745</v>
      </c>
      <c r="K12" s="141"/>
      <c r="L12" s="143"/>
    </row>
    <row r="13" spans="1:17">
      <c r="A13" s="147"/>
      <c r="C13" s="141"/>
      <c r="D13" s="141"/>
      <c r="E13" s="141"/>
      <c r="F13" s="141"/>
      <c r="G13" s="141"/>
      <c r="H13" s="141"/>
      <c r="I13" s="141"/>
      <c r="J13" s="152"/>
      <c r="K13" s="141"/>
      <c r="L13" s="143"/>
    </row>
    <row r="14" spans="1:17">
      <c r="A14" s="147"/>
      <c r="C14" s="141"/>
      <c r="D14" s="141"/>
      <c r="E14" s="141"/>
      <c r="F14" s="141"/>
      <c r="G14" s="141"/>
      <c r="H14" s="141"/>
      <c r="I14" s="141"/>
      <c r="J14" s="152"/>
      <c r="K14" s="141"/>
      <c r="L14" s="143"/>
    </row>
    <row r="15" spans="1:17" ht="16.5" thickBot="1">
      <c r="A15" s="147" t="s">
        <v>127</v>
      </c>
      <c r="C15" s="154" t="s">
        <v>273</v>
      </c>
      <c r="D15" s="155" t="s">
        <v>274</v>
      </c>
      <c r="E15" s="151" t="s">
        <v>26</v>
      </c>
      <c r="F15" s="146"/>
      <c r="G15" s="156" t="s">
        <v>275</v>
      </c>
      <c r="H15" s="156"/>
      <c r="I15" s="141"/>
      <c r="J15" s="152"/>
      <c r="K15" s="141"/>
      <c r="L15" s="143"/>
    </row>
    <row r="16" spans="1:17">
      <c r="A16" s="147">
        <v>2</v>
      </c>
      <c r="C16" s="154" t="s">
        <v>276</v>
      </c>
      <c r="D16" s="146" t="s">
        <v>277</v>
      </c>
      <c r="E16" s="146">
        <f>J303</f>
        <v>18752</v>
      </c>
      <c r="F16" s="146"/>
      <c r="G16" s="146" t="s">
        <v>278</v>
      </c>
      <c r="H16" s="157">
        <f>J251</f>
        <v>0.96328614043055671</v>
      </c>
      <c r="I16" s="146"/>
      <c r="J16" s="146">
        <f>+H16*E16</f>
        <v>18063.5417053538</v>
      </c>
      <c r="K16" s="141"/>
      <c r="L16" s="143"/>
    </row>
    <row r="17" spans="1:17">
      <c r="A17" s="147">
        <v>3</v>
      </c>
      <c r="C17" s="154" t="s">
        <v>279</v>
      </c>
      <c r="D17" s="146" t="s">
        <v>280</v>
      </c>
      <c r="E17" s="146">
        <f>J310</f>
        <v>11925111</v>
      </c>
      <c r="F17" s="146"/>
      <c r="G17" s="146" t="str">
        <f t="shared" ref="G17:H19" si="0">+G16</f>
        <v>TP</v>
      </c>
      <c r="H17" s="157">
        <f t="shared" si="0"/>
        <v>0.96328614043055671</v>
      </c>
      <c r="I17" s="146"/>
      <c r="J17" s="146">
        <f>+H17*E17</f>
        <v>11487294.149395976</v>
      </c>
      <c r="K17" s="141"/>
      <c r="L17" s="143"/>
    </row>
    <row r="18" spans="1:17">
      <c r="A18" s="147">
        <v>4</v>
      </c>
      <c r="C18" s="158" t="s">
        <v>281</v>
      </c>
      <c r="D18" s="146"/>
      <c r="E18" s="159">
        <v>0</v>
      </c>
      <c r="F18" s="146"/>
      <c r="G18" s="146" t="str">
        <f t="shared" si="0"/>
        <v>TP</v>
      </c>
      <c r="H18" s="157">
        <f t="shared" si="0"/>
        <v>0.96328614043055671</v>
      </c>
      <c r="I18" s="146"/>
      <c r="J18" s="146">
        <f>+H18*E18</f>
        <v>0</v>
      </c>
      <c r="K18" s="141"/>
      <c r="L18" s="143"/>
      <c r="N18" s="160"/>
      <c r="O18" s="161"/>
      <c r="P18" s="161"/>
      <c r="Q18" s="161"/>
    </row>
    <row r="19" spans="1:17" ht="16.5" thickBot="1">
      <c r="A19" s="147">
        <v>5</v>
      </c>
      <c r="C19" s="158" t="s">
        <v>282</v>
      </c>
      <c r="D19" s="146"/>
      <c r="E19" s="159">
        <v>0</v>
      </c>
      <c r="F19" s="146"/>
      <c r="G19" s="146" t="str">
        <f t="shared" si="0"/>
        <v>TP</v>
      </c>
      <c r="H19" s="157">
        <f t="shared" si="0"/>
        <v>0.96328614043055671</v>
      </c>
      <c r="I19" s="146"/>
      <c r="J19" s="162">
        <f>+H19*E19</f>
        <v>0</v>
      </c>
      <c r="K19" s="141"/>
      <c r="L19" s="143"/>
      <c r="N19" s="160"/>
      <c r="O19" s="161"/>
      <c r="P19" s="161"/>
      <c r="Q19" s="161"/>
    </row>
    <row r="20" spans="1:17">
      <c r="A20" s="147">
        <v>6</v>
      </c>
      <c r="C20" s="154" t="s">
        <v>283</v>
      </c>
      <c r="D20" s="141"/>
      <c r="E20" s="163" t="s">
        <v>127</v>
      </c>
      <c r="F20" s="146"/>
      <c r="G20" s="146"/>
      <c r="H20" s="157"/>
      <c r="I20" s="146"/>
      <c r="J20" s="146">
        <f>SUM(J16:J19)</f>
        <v>11505357.691101329</v>
      </c>
      <c r="K20" s="141"/>
      <c r="L20" s="143"/>
      <c r="N20" s="164"/>
      <c r="O20" s="161"/>
      <c r="P20" s="161"/>
      <c r="Q20" s="161"/>
    </row>
    <row r="21" spans="1:17">
      <c r="A21" s="147"/>
      <c r="D21" s="141"/>
      <c r="E21" s="146" t="s">
        <v>127</v>
      </c>
      <c r="F21" s="141"/>
      <c r="G21" s="141"/>
      <c r="H21" s="157"/>
      <c r="I21" s="141"/>
      <c r="K21" s="141"/>
      <c r="L21" s="143"/>
      <c r="N21" s="164"/>
      <c r="O21" s="161"/>
      <c r="P21" s="161"/>
      <c r="Q21" s="161"/>
    </row>
    <row r="22" spans="1:17">
      <c r="A22" s="165" t="s">
        <v>284</v>
      </c>
      <c r="C22" s="166" t="s">
        <v>217</v>
      </c>
      <c r="D22" s="167"/>
      <c r="E22" s="168" t="s">
        <v>127</v>
      </c>
      <c r="F22" s="167"/>
      <c r="G22" s="167"/>
      <c r="H22" s="169"/>
      <c r="I22" s="167"/>
      <c r="J22" s="170">
        <v>20362771</v>
      </c>
      <c r="K22" s="141"/>
      <c r="L22" s="143"/>
      <c r="N22" s="164"/>
      <c r="O22" s="161"/>
      <c r="P22" s="161"/>
      <c r="Q22" s="161"/>
    </row>
    <row r="23" spans="1:17" ht="16.5" thickBot="1">
      <c r="A23" s="165" t="s">
        <v>285</v>
      </c>
      <c r="C23" s="166" t="s">
        <v>286</v>
      </c>
      <c r="D23" s="167" t="s">
        <v>287</v>
      </c>
      <c r="E23" s="168"/>
      <c r="F23" s="167"/>
      <c r="G23" s="167"/>
      <c r="H23" s="169"/>
      <c r="I23" s="167"/>
      <c r="J23" s="171">
        <v>24419516</v>
      </c>
      <c r="K23" s="141"/>
      <c r="L23" s="143"/>
      <c r="N23" s="164"/>
      <c r="O23" s="161"/>
      <c r="P23" s="161"/>
      <c r="Q23" s="161"/>
    </row>
    <row r="24" spans="1:17">
      <c r="A24" s="165" t="s">
        <v>288</v>
      </c>
      <c r="C24" s="166" t="s">
        <v>289</v>
      </c>
      <c r="D24" s="167" t="s">
        <v>290</v>
      </c>
      <c r="E24" s="168"/>
      <c r="F24" s="167"/>
      <c r="G24" s="167"/>
      <c r="H24" s="169"/>
      <c r="I24" s="167"/>
      <c r="J24" s="172">
        <f>J22-J23</f>
        <v>-4056745</v>
      </c>
      <c r="K24" s="141"/>
      <c r="L24" s="143"/>
      <c r="N24" s="164"/>
      <c r="O24" s="161"/>
      <c r="P24" s="161"/>
      <c r="Q24" s="161"/>
    </row>
    <row r="25" spans="1:17">
      <c r="A25" s="165" t="s">
        <v>291</v>
      </c>
      <c r="C25" s="166" t="s">
        <v>292</v>
      </c>
      <c r="D25" s="167" t="s">
        <v>293</v>
      </c>
      <c r="E25" s="168"/>
      <c r="F25" s="167"/>
      <c r="G25" s="167"/>
      <c r="H25" s="169"/>
      <c r="I25" s="167"/>
      <c r="J25" s="172">
        <f>E392</f>
        <v>388897.24800000002</v>
      </c>
      <c r="K25" s="141"/>
      <c r="L25" s="143"/>
      <c r="N25" s="173"/>
      <c r="O25" s="174"/>
      <c r="P25" s="161"/>
      <c r="Q25" s="161"/>
    </row>
    <row r="26" spans="1:17" ht="16.5" thickBot="1">
      <c r="A26" s="165" t="s">
        <v>294</v>
      </c>
      <c r="C26" s="166" t="s">
        <v>295</v>
      </c>
      <c r="D26" s="167"/>
      <c r="E26" s="168"/>
      <c r="F26" s="167"/>
      <c r="G26" s="167"/>
      <c r="H26" s="169"/>
      <c r="I26" s="167"/>
      <c r="J26" s="171">
        <v>-237677</v>
      </c>
      <c r="K26" s="141"/>
      <c r="L26" s="143"/>
      <c r="N26" s="175"/>
      <c r="O26" s="175"/>
      <c r="P26" s="161"/>
      <c r="Q26" s="161"/>
    </row>
    <row r="27" spans="1:17">
      <c r="A27" s="147"/>
      <c r="C27" s="154"/>
      <c r="D27" s="141"/>
      <c r="J27" s="146"/>
      <c r="K27" s="141"/>
      <c r="L27" s="143"/>
      <c r="N27" s="176"/>
      <c r="O27" s="176"/>
      <c r="P27" s="161"/>
      <c r="Q27" s="161"/>
    </row>
    <row r="28" spans="1:17" ht="16.5" thickBot="1">
      <c r="A28" s="147">
        <v>7</v>
      </c>
      <c r="C28" s="154" t="s">
        <v>296</v>
      </c>
      <c r="D28" s="177" t="s">
        <v>297</v>
      </c>
      <c r="E28" s="163"/>
      <c r="F28" s="146"/>
      <c r="G28" s="146"/>
      <c r="H28" s="146"/>
      <c r="I28" s="146"/>
      <c r="J28" s="178">
        <f>+J12-J20+J24+J25+J26</f>
        <v>19310222.055815417</v>
      </c>
      <c r="K28" s="141"/>
      <c r="L28" s="143"/>
      <c r="N28" s="179"/>
      <c r="O28" s="179"/>
      <c r="P28" s="161"/>
      <c r="Q28" s="161"/>
    </row>
    <row r="29" spans="1:17" ht="16.5" thickTop="1">
      <c r="A29" s="147"/>
      <c r="D29" s="141"/>
      <c r="E29" s="163"/>
      <c r="F29" s="146"/>
      <c r="G29" s="146"/>
      <c r="H29" s="146"/>
      <c r="I29" s="146"/>
      <c r="K29" s="141"/>
      <c r="L29" s="143"/>
      <c r="N29" s="180"/>
      <c r="O29" s="181"/>
      <c r="P29" s="161"/>
      <c r="Q29" s="161"/>
    </row>
    <row r="30" spans="1:17">
      <c r="A30" s="147"/>
      <c r="D30" s="146"/>
      <c r="J30" s="146"/>
      <c r="K30" s="141"/>
      <c r="L30" s="143"/>
      <c r="N30" s="173"/>
      <c r="O30" s="174"/>
      <c r="P30" s="161"/>
      <c r="Q30" s="161"/>
    </row>
    <row r="31" spans="1:17">
      <c r="A31" s="147"/>
      <c r="C31" s="154" t="s">
        <v>298</v>
      </c>
      <c r="D31" s="141"/>
      <c r="E31" s="152"/>
      <c r="F31" s="141"/>
      <c r="G31" s="141"/>
      <c r="H31" s="141"/>
      <c r="I31" s="141"/>
      <c r="J31" s="152"/>
      <c r="K31" s="141"/>
      <c r="L31" s="143"/>
      <c r="N31" s="164"/>
      <c r="O31" s="161"/>
      <c r="P31" s="161"/>
      <c r="Q31" s="161"/>
    </row>
    <row r="32" spans="1:17">
      <c r="A32" s="147">
        <v>8</v>
      </c>
      <c r="C32" s="154" t="s">
        <v>299</v>
      </c>
      <c r="E32" s="182"/>
      <c r="F32" s="141"/>
      <c r="G32" s="141"/>
      <c r="H32" s="183" t="s">
        <v>300</v>
      </c>
      <c r="I32" s="141"/>
      <c r="J32" s="184">
        <v>540717</v>
      </c>
      <c r="K32" s="141"/>
      <c r="L32" s="143"/>
      <c r="N32" s="185"/>
      <c r="O32" s="161"/>
      <c r="P32" s="161"/>
      <c r="Q32" s="161"/>
    </row>
    <row r="33" spans="1:12">
      <c r="A33" s="147">
        <v>9</v>
      </c>
      <c r="C33" s="154" t="s">
        <v>301</v>
      </c>
      <c r="D33" s="146"/>
      <c r="E33" s="146"/>
      <c r="F33" s="146"/>
      <c r="G33" s="146"/>
      <c r="H33" s="155" t="s">
        <v>302</v>
      </c>
      <c r="I33" s="146"/>
      <c r="J33" s="184">
        <v>0</v>
      </c>
      <c r="K33" s="141"/>
      <c r="L33" s="143"/>
    </row>
    <row r="34" spans="1:12">
      <c r="A34" s="147">
        <v>10</v>
      </c>
      <c r="C34" s="158" t="s">
        <v>303</v>
      </c>
      <c r="D34" s="141"/>
      <c r="E34" s="186"/>
      <c r="F34" s="141"/>
      <c r="H34" s="183" t="s">
        <v>304</v>
      </c>
      <c r="I34" s="141"/>
      <c r="J34" s="184">
        <v>0</v>
      </c>
      <c r="K34" s="141"/>
      <c r="L34" s="143"/>
    </row>
    <row r="35" spans="1:12">
      <c r="A35" s="147">
        <v>11</v>
      </c>
      <c r="C35" s="154" t="s">
        <v>305</v>
      </c>
      <c r="D35" s="141"/>
      <c r="E35" s="141"/>
      <c r="F35" s="141"/>
      <c r="H35" s="183" t="s">
        <v>306</v>
      </c>
      <c r="I35" s="141"/>
      <c r="J35" s="187">
        <v>0</v>
      </c>
      <c r="K35" s="141"/>
      <c r="L35" s="143"/>
    </row>
    <row r="36" spans="1:12">
      <c r="A36" s="147">
        <v>12</v>
      </c>
      <c r="C36" s="158" t="s">
        <v>307</v>
      </c>
      <c r="D36" s="141"/>
      <c r="E36" s="141"/>
      <c r="F36" s="141"/>
      <c r="G36" s="141"/>
      <c r="H36" s="137"/>
      <c r="I36" s="141"/>
      <c r="J36" s="187">
        <v>0</v>
      </c>
      <c r="K36" s="141"/>
      <c r="L36" s="143"/>
    </row>
    <row r="37" spans="1:12">
      <c r="A37" s="147">
        <v>13</v>
      </c>
      <c r="C37" s="158" t="s">
        <v>308</v>
      </c>
      <c r="D37" s="141"/>
      <c r="E37" s="141"/>
      <c r="F37" s="141"/>
      <c r="G37" s="141"/>
      <c r="H37" s="183"/>
      <c r="I37" s="141"/>
      <c r="J37" s="187">
        <v>0</v>
      </c>
      <c r="K37" s="141"/>
      <c r="L37" s="143"/>
    </row>
    <row r="38" spans="1:12" ht="16.5" thickBot="1">
      <c r="A38" s="147">
        <v>14</v>
      </c>
      <c r="C38" s="158" t="s">
        <v>309</v>
      </c>
      <c r="D38" s="141"/>
      <c r="E38" s="141"/>
      <c r="F38" s="141"/>
      <c r="G38" s="141"/>
      <c r="H38" s="137"/>
      <c r="I38" s="141"/>
      <c r="J38" s="188">
        <v>0</v>
      </c>
      <c r="K38" s="141"/>
      <c r="L38" s="143"/>
    </row>
    <row r="39" spans="1:12">
      <c r="A39" s="147">
        <v>15</v>
      </c>
      <c r="C39" s="135" t="s">
        <v>310</v>
      </c>
      <c r="D39" s="141"/>
      <c r="E39" s="141"/>
      <c r="F39" s="141"/>
      <c r="G39" s="141"/>
      <c r="H39" s="141"/>
      <c r="I39" s="141"/>
      <c r="J39" s="152">
        <f>SUM(J32:J38)</f>
        <v>540717</v>
      </c>
      <c r="K39" s="141"/>
      <c r="L39" s="143"/>
    </row>
    <row r="40" spans="1:12">
      <c r="A40" s="147"/>
      <c r="C40" s="154"/>
      <c r="D40" s="141"/>
      <c r="E40" s="141"/>
      <c r="F40" s="141"/>
      <c r="G40" s="141"/>
      <c r="H40" s="141"/>
      <c r="I40" s="141"/>
      <c r="J40" s="152"/>
      <c r="K40" s="141"/>
      <c r="L40" s="143"/>
    </row>
    <row r="41" spans="1:12">
      <c r="A41" s="147">
        <v>16</v>
      </c>
      <c r="C41" s="154" t="s">
        <v>311</v>
      </c>
      <c r="D41" s="141" t="s">
        <v>312</v>
      </c>
      <c r="E41" s="189">
        <f>IF(J39&gt;0,J28/J39,0)</f>
        <v>35.712252538417353</v>
      </c>
      <c r="F41" s="141"/>
      <c r="G41" s="141"/>
      <c r="H41" s="141"/>
      <c r="I41" s="141"/>
      <c r="K41" s="141"/>
      <c r="L41" s="143"/>
    </row>
    <row r="42" spans="1:12">
      <c r="A42" s="147">
        <v>17</v>
      </c>
      <c r="C42" s="154" t="s">
        <v>313</v>
      </c>
      <c r="D42" s="141" t="s">
        <v>314</v>
      </c>
      <c r="E42" s="189">
        <f>+E41/12</f>
        <v>2.9760210448681126</v>
      </c>
      <c r="F42" s="141"/>
      <c r="G42" s="141"/>
      <c r="H42" s="141"/>
      <c r="I42" s="141"/>
      <c r="K42" s="141"/>
      <c r="L42" s="143"/>
    </row>
    <row r="43" spans="1:12">
      <c r="A43" s="147"/>
      <c r="C43" s="154"/>
      <c r="D43" s="141"/>
      <c r="E43" s="189"/>
      <c r="F43" s="141"/>
      <c r="G43" s="141"/>
      <c r="H43" s="141"/>
      <c r="I43" s="141"/>
      <c r="K43" s="141"/>
      <c r="L43" s="143"/>
    </row>
    <row r="44" spans="1:12">
      <c r="A44" s="147"/>
      <c r="C44" s="154"/>
      <c r="D44" s="141"/>
      <c r="E44" s="190" t="s">
        <v>315</v>
      </c>
      <c r="F44" s="141"/>
      <c r="G44" s="141"/>
      <c r="H44" s="141"/>
      <c r="I44" s="141"/>
      <c r="J44" s="191" t="s">
        <v>316</v>
      </c>
      <c r="K44" s="141"/>
      <c r="L44" s="143"/>
    </row>
    <row r="45" spans="1:12">
      <c r="A45" s="147"/>
      <c r="C45" s="154"/>
      <c r="D45" s="141"/>
      <c r="E45" s="189"/>
      <c r="F45" s="141"/>
      <c r="G45" s="141"/>
      <c r="H45" s="141"/>
      <c r="I45" s="141"/>
      <c r="K45" s="141"/>
      <c r="L45" s="143"/>
    </row>
    <row r="46" spans="1:12">
      <c r="A46" s="147">
        <v>18</v>
      </c>
      <c r="C46" s="154" t="s">
        <v>317</v>
      </c>
      <c r="D46" s="192" t="s">
        <v>318</v>
      </c>
      <c r="E46" s="189">
        <f>+E41/52</f>
        <v>0.68677408727725675</v>
      </c>
      <c r="F46" s="141"/>
      <c r="G46" s="141"/>
      <c r="H46" s="141"/>
      <c r="I46" s="141"/>
      <c r="J46" s="193">
        <f>+E41/52</f>
        <v>0.68677408727725675</v>
      </c>
      <c r="K46" s="141"/>
      <c r="L46" s="143"/>
    </row>
    <row r="47" spans="1:12">
      <c r="A47" s="147">
        <v>19</v>
      </c>
      <c r="C47" s="154" t="s">
        <v>319</v>
      </c>
      <c r="D47" s="192" t="s">
        <v>320</v>
      </c>
      <c r="E47" s="189">
        <f>+E41/260</f>
        <v>0.13735481745545136</v>
      </c>
      <c r="F47" s="141" t="s">
        <v>321</v>
      </c>
      <c r="H47" s="141"/>
      <c r="I47" s="141"/>
      <c r="J47" s="193">
        <f>+E41/365</f>
        <v>9.7841787776485903E-2</v>
      </c>
      <c r="K47" s="141"/>
      <c r="L47" s="143"/>
    </row>
    <row r="48" spans="1:12">
      <c r="A48" s="147">
        <v>20</v>
      </c>
      <c r="C48" s="154" t="s">
        <v>322</v>
      </c>
      <c r="D48" s="194" t="s">
        <v>323</v>
      </c>
      <c r="E48" s="195">
        <f>+E41/4160*1000</f>
        <v>8.5846760909657096</v>
      </c>
      <c r="F48" s="141" t="s">
        <v>324</v>
      </c>
      <c r="H48" s="141"/>
      <c r="I48" s="141"/>
      <c r="J48" s="193">
        <f>+E41/8760*1000</f>
        <v>4.0767411573535792</v>
      </c>
      <c r="K48" s="141"/>
      <c r="L48" s="143" t="s">
        <v>127</v>
      </c>
    </row>
    <row r="49" spans="1:12">
      <c r="A49" s="147"/>
      <c r="C49" s="154"/>
      <c r="D49" s="141"/>
      <c r="E49" s="141"/>
      <c r="F49" s="141"/>
      <c r="H49" s="141"/>
      <c r="I49" s="141"/>
      <c r="K49" s="141"/>
      <c r="L49" s="143" t="s">
        <v>127</v>
      </c>
    </row>
    <row r="50" spans="1:12">
      <c r="A50" s="147">
        <v>21</v>
      </c>
      <c r="C50" s="154" t="s">
        <v>325</v>
      </c>
      <c r="D50" s="141" t="s">
        <v>326</v>
      </c>
      <c r="E50" s="196">
        <v>0</v>
      </c>
      <c r="F50" s="197" t="s">
        <v>179</v>
      </c>
      <c r="G50" s="197"/>
      <c r="H50" s="197"/>
      <c r="I50" s="197"/>
      <c r="J50" s="197">
        <f>E50</f>
        <v>0</v>
      </c>
      <c r="K50" s="197" t="s">
        <v>179</v>
      </c>
      <c r="L50" s="143"/>
    </row>
    <row r="51" spans="1:12">
      <c r="A51" s="147">
        <v>22</v>
      </c>
      <c r="C51" s="154"/>
      <c r="D51" s="141"/>
      <c r="E51" s="196">
        <v>0</v>
      </c>
      <c r="F51" s="197" t="s">
        <v>106</v>
      </c>
      <c r="G51" s="197"/>
      <c r="H51" s="197"/>
      <c r="I51" s="197"/>
      <c r="J51" s="197">
        <f>E51</f>
        <v>0</v>
      </c>
      <c r="K51" s="197" t="s">
        <v>106</v>
      </c>
      <c r="L51" s="143"/>
    </row>
    <row r="52" spans="1:12" s="199" customFormat="1">
      <c r="A52" s="198"/>
      <c r="C52" s="200"/>
      <c r="D52" s="143"/>
      <c r="E52" s="201"/>
      <c r="F52" s="201"/>
      <c r="G52" s="201"/>
      <c r="H52" s="201"/>
      <c r="I52" s="201"/>
      <c r="J52" s="201"/>
      <c r="K52" s="201"/>
      <c r="L52" s="143"/>
    </row>
    <row r="53" spans="1:12" s="199" customFormat="1">
      <c r="A53" s="198"/>
      <c r="C53" s="200"/>
      <c r="D53" s="143"/>
      <c r="E53" s="201"/>
      <c r="F53" s="201"/>
      <c r="G53" s="201"/>
      <c r="H53" s="201"/>
      <c r="I53" s="201"/>
      <c r="J53" s="201"/>
      <c r="K53" s="201"/>
      <c r="L53" s="143"/>
    </row>
    <row r="54" spans="1:12" s="199" customFormat="1">
      <c r="A54" s="198"/>
      <c r="C54" s="200"/>
      <c r="D54" s="143"/>
      <c r="E54" s="201"/>
      <c r="F54" s="201"/>
      <c r="G54" s="201"/>
      <c r="H54" s="201"/>
      <c r="I54" s="201"/>
      <c r="J54" s="201"/>
      <c r="K54" s="201"/>
      <c r="L54" s="143"/>
    </row>
    <row r="55" spans="1:12" s="199" customFormat="1">
      <c r="A55" s="198"/>
      <c r="C55" s="200"/>
      <c r="D55" s="143"/>
      <c r="E55" s="201"/>
      <c r="F55" s="201"/>
      <c r="G55" s="201"/>
      <c r="H55" s="201"/>
      <c r="I55" s="201"/>
      <c r="J55" s="201"/>
      <c r="K55" s="201"/>
      <c r="L55" s="143"/>
    </row>
    <row r="56" spans="1:12" s="199" customFormat="1">
      <c r="A56" s="198"/>
      <c r="C56" s="200"/>
      <c r="D56" s="143"/>
      <c r="E56" s="201"/>
      <c r="F56" s="201"/>
      <c r="G56" s="201"/>
      <c r="H56" s="201"/>
      <c r="I56" s="201"/>
      <c r="J56" s="201"/>
      <c r="K56" s="201"/>
      <c r="L56" s="143"/>
    </row>
    <row r="57" spans="1:12" s="199" customFormat="1">
      <c r="A57" s="198"/>
      <c r="C57" s="200"/>
      <c r="D57" s="143"/>
      <c r="E57" s="201"/>
      <c r="F57" s="201"/>
      <c r="G57" s="201"/>
      <c r="H57" s="201"/>
      <c r="I57" s="201"/>
      <c r="J57" s="201"/>
      <c r="K57" s="201"/>
      <c r="L57" s="143"/>
    </row>
    <row r="58" spans="1:12" s="199" customFormat="1">
      <c r="A58" s="198"/>
      <c r="C58" s="200"/>
      <c r="D58" s="143"/>
      <c r="E58" s="201"/>
      <c r="F58" s="201"/>
      <c r="G58" s="201"/>
      <c r="H58" s="201"/>
      <c r="I58" s="201"/>
      <c r="J58" s="201"/>
      <c r="K58" s="201"/>
      <c r="L58" s="143"/>
    </row>
    <row r="59" spans="1:12" s="199" customFormat="1">
      <c r="A59" s="198"/>
      <c r="C59" s="200"/>
      <c r="D59" s="143"/>
      <c r="E59" s="201"/>
      <c r="F59" s="201"/>
      <c r="G59" s="201"/>
      <c r="H59" s="201"/>
      <c r="I59" s="201"/>
      <c r="J59" s="201"/>
      <c r="K59" s="201"/>
      <c r="L59" s="143"/>
    </row>
    <row r="60" spans="1:12" s="199" customFormat="1">
      <c r="A60" s="198"/>
      <c r="C60" s="200"/>
      <c r="D60" s="143"/>
      <c r="E60" s="201"/>
      <c r="F60" s="201"/>
      <c r="G60" s="201"/>
      <c r="H60" s="201"/>
      <c r="I60" s="201"/>
      <c r="J60" s="201"/>
      <c r="K60" s="201"/>
      <c r="L60" s="143"/>
    </row>
    <row r="61" spans="1:12" s="199" customFormat="1">
      <c r="A61" s="198"/>
      <c r="C61" s="200"/>
      <c r="D61" s="143"/>
      <c r="E61" s="201"/>
      <c r="F61" s="201"/>
      <c r="G61" s="201"/>
      <c r="H61" s="201"/>
      <c r="I61" s="201"/>
      <c r="J61" s="201"/>
      <c r="K61" s="201"/>
      <c r="L61" s="143"/>
    </row>
    <row r="62" spans="1:12" s="199" customFormat="1">
      <c r="A62" s="198"/>
      <c r="C62" s="200"/>
      <c r="D62" s="143"/>
      <c r="E62" s="201"/>
      <c r="F62" s="201"/>
      <c r="G62" s="201"/>
      <c r="H62" s="201"/>
      <c r="I62" s="201"/>
      <c r="J62" s="201"/>
      <c r="K62" s="201"/>
      <c r="L62" s="143"/>
    </row>
    <row r="63" spans="1:12" s="199" customFormat="1">
      <c r="A63" s="198"/>
      <c r="C63" s="200"/>
      <c r="D63" s="143"/>
      <c r="E63" s="201"/>
      <c r="F63" s="201"/>
      <c r="G63" s="201"/>
      <c r="H63" s="201"/>
      <c r="I63" s="201"/>
      <c r="J63" s="201"/>
      <c r="K63" s="201"/>
      <c r="L63" s="143"/>
    </row>
    <row r="64" spans="1:12" s="199" customFormat="1">
      <c r="A64" s="198"/>
      <c r="C64" s="200"/>
      <c r="D64" s="143"/>
      <c r="E64" s="201"/>
      <c r="F64" s="201"/>
      <c r="G64" s="201"/>
      <c r="H64" s="201"/>
      <c r="I64" s="201"/>
      <c r="J64" s="201"/>
      <c r="K64" s="201"/>
      <c r="L64" s="143"/>
    </row>
    <row r="65" spans="1:12" s="199" customFormat="1">
      <c r="A65" s="198"/>
      <c r="C65" s="200"/>
      <c r="D65" s="143"/>
      <c r="E65" s="201"/>
      <c r="F65" s="201"/>
      <c r="G65" s="201"/>
      <c r="H65" s="201"/>
      <c r="I65" s="201"/>
      <c r="J65" s="201"/>
      <c r="K65" s="201"/>
      <c r="L65" s="143"/>
    </row>
    <row r="66" spans="1:12" s="199" customFormat="1">
      <c r="A66" s="198"/>
      <c r="C66" s="200"/>
      <c r="D66" s="143"/>
      <c r="E66" s="201"/>
      <c r="F66" s="201"/>
      <c r="G66" s="201"/>
      <c r="H66" s="201"/>
      <c r="I66" s="201"/>
      <c r="J66" s="201"/>
      <c r="K66" s="201"/>
      <c r="L66" s="143"/>
    </row>
    <row r="67" spans="1:12" s="199" customFormat="1">
      <c r="A67" s="198"/>
      <c r="C67" s="200"/>
      <c r="D67" s="143"/>
      <c r="E67" s="201"/>
      <c r="F67" s="201"/>
      <c r="G67" s="201"/>
      <c r="H67" s="201"/>
      <c r="I67" s="201"/>
      <c r="J67" s="201"/>
      <c r="K67" s="201"/>
      <c r="L67" s="143"/>
    </row>
    <row r="68" spans="1:12" s="199" customFormat="1">
      <c r="A68" s="198"/>
      <c r="C68" s="200"/>
      <c r="D68" s="143"/>
      <c r="E68" s="201"/>
      <c r="F68" s="201"/>
      <c r="G68" s="201"/>
      <c r="H68" s="201"/>
      <c r="I68" s="201"/>
      <c r="J68" s="201"/>
      <c r="K68" s="201"/>
      <c r="L68" s="143"/>
    </row>
    <row r="69" spans="1:12" s="199" customFormat="1">
      <c r="A69" s="198"/>
      <c r="C69" s="200"/>
      <c r="D69" s="143"/>
      <c r="E69" s="201"/>
      <c r="F69" s="201"/>
      <c r="G69" s="201"/>
      <c r="H69" s="201"/>
      <c r="I69" s="201"/>
      <c r="J69" s="201"/>
      <c r="K69" s="201"/>
      <c r="L69" s="143"/>
    </row>
    <row r="70" spans="1:12" s="199" customFormat="1">
      <c r="A70" s="198"/>
      <c r="C70" s="200"/>
      <c r="D70" s="143"/>
      <c r="E70" s="201"/>
      <c r="F70" s="201"/>
      <c r="G70" s="201"/>
      <c r="H70" s="201"/>
      <c r="I70" s="201"/>
      <c r="J70" s="201"/>
      <c r="K70" s="201"/>
      <c r="L70" s="143"/>
    </row>
    <row r="71" spans="1:12" s="199" customFormat="1">
      <c r="A71" s="198"/>
      <c r="C71" s="200"/>
      <c r="D71" s="143"/>
      <c r="E71" s="201"/>
      <c r="F71" s="201"/>
      <c r="G71" s="201"/>
      <c r="H71" s="201"/>
      <c r="I71" s="201"/>
      <c r="J71" s="201"/>
      <c r="K71" s="201"/>
      <c r="L71" s="143"/>
    </row>
    <row r="72" spans="1:12" s="199" customFormat="1">
      <c r="A72" s="198"/>
      <c r="C72" s="200"/>
      <c r="D72" s="143"/>
      <c r="E72" s="201"/>
      <c r="F72" s="201"/>
      <c r="G72" s="201"/>
      <c r="H72" s="201"/>
      <c r="I72" s="201"/>
      <c r="J72" s="201"/>
      <c r="K72" s="201"/>
      <c r="L72" s="143"/>
    </row>
    <row r="73" spans="1:12" s="199" customFormat="1">
      <c r="A73" s="198"/>
      <c r="C73" s="200"/>
      <c r="D73" s="143"/>
      <c r="E73" s="201"/>
      <c r="F73" s="201"/>
      <c r="G73" s="201"/>
      <c r="H73" s="201"/>
      <c r="I73" s="201"/>
      <c r="J73" s="201"/>
      <c r="K73" s="201"/>
      <c r="L73" s="143"/>
    </row>
    <row r="74" spans="1:12" s="199" customFormat="1">
      <c r="A74" s="198"/>
      <c r="C74" s="200"/>
      <c r="D74" s="143"/>
      <c r="E74" s="201"/>
      <c r="F74" s="201"/>
      <c r="G74" s="201"/>
      <c r="H74" s="201"/>
      <c r="I74" s="201"/>
      <c r="J74" s="201"/>
      <c r="K74" s="201"/>
      <c r="L74" s="143"/>
    </row>
    <row r="75" spans="1:12" s="199" customFormat="1">
      <c r="A75" s="198"/>
      <c r="C75" s="200"/>
      <c r="D75" s="143"/>
      <c r="E75" s="201"/>
      <c r="F75" s="201"/>
      <c r="G75" s="201"/>
      <c r="H75" s="201"/>
      <c r="I75" s="201"/>
      <c r="J75" s="201"/>
      <c r="K75" s="201"/>
      <c r="L75" s="143"/>
    </row>
    <row r="76" spans="1:12" s="199" customFormat="1">
      <c r="A76" s="198"/>
      <c r="C76" s="200"/>
      <c r="D76" s="143"/>
      <c r="E76" s="201"/>
      <c r="F76" s="201"/>
      <c r="G76" s="201"/>
      <c r="H76" s="201"/>
      <c r="I76" s="201"/>
      <c r="J76" s="201"/>
      <c r="K76" s="201"/>
      <c r="L76" s="143"/>
    </row>
    <row r="77" spans="1:12">
      <c r="C77" s="135"/>
      <c r="D77" s="135"/>
      <c r="E77" s="136"/>
      <c r="F77" s="135"/>
      <c r="G77" s="135"/>
      <c r="H77" s="135"/>
      <c r="I77" s="137"/>
      <c r="J77" s="147"/>
      <c r="K77" s="147"/>
      <c r="L77" s="139"/>
    </row>
    <row r="78" spans="1:12">
      <c r="C78" s="135"/>
      <c r="D78" s="135"/>
      <c r="E78" s="136"/>
      <c r="F78" s="135"/>
      <c r="G78" s="135"/>
      <c r="H78" s="135"/>
      <c r="I78" s="137"/>
      <c r="J78" s="138"/>
      <c r="K78" s="138"/>
      <c r="L78" s="139"/>
    </row>
    <row r="79" spans="1:12">
      <c r="C79" s="135"/>
      <c r="D79" s="135"/>
      <c r="E79" s="136"/>
      <c r="F79" s="135"/>
      <c r="G79" s="135"/>
      <c r="H79" s="135"/>
      <c r="I79" s="137"/>
      <c r="J79" s="137"/>
      <c r="L79" s="140" t="s">
        <v>17</v>
      </c>
    </row>
    <row r="80" spans="1:12">
      <c r="C80" s="135"/>
      <c r="D80" s="135"/>
      <c r="E80" s="136"/>
      <c r="F80" s="135"/>
      <c r="G80" s="135"/>
      <c r="H80" s="135"/>
      <c r="I80" s="137"/>
      <c r="J80" s="137"/>
      <c r="K80" s="141"/>
      <c r="L80" s="142" t="s">
        <v>327</v>
      </c>
    </row>
    <row r="81" spans="1:16">
      <c r="C81" s="135"/>
      <c r="D81" s="135"/>
      <c r="E81" s="136"/>
      <c r="F81" s="135"/>
      <c r="G81" s="135"/>
      <c r="H81" s="135"/>
      <c r="I81" s="137"/>
      <c r="J81" s="137"/>
      <c r="K81" s="141"/>
      <c r="L81" s="142"/>
    </row>
    <row r="82" spans="1:16">
      <c r="C82" s="135" t="s">
        <v>265</v>
      </c>
      <c r="D82" s="135"/>
      <c r="E82" s="136" t="s">
        <v>266</v>
      </c>
      <c r="F82" s="135"/>
      <c r="G82" s="135"/>
      <c r="H82" s="135"/>
      <c r="I82" s="137"/>
      <c r="J82" s="144" t="str">
        <f>J5</f>
        <v>For the 12 months ended 12/31/16</v>
      </c>
      <c r="K82" s="145"/>
      <c r="L82" s="145"/>
    </row>
    <row r="83" spans="1:16">
      <c r="C83" s="135"/>
      <c r="D83" s="146" t="s">
        <v>127</v>
      </c>
      <c r="E83" s="146" t="s">
        <v>268</v>
      </c>
      <c r="F83" s="146"/>
      <c r="G83" s="146"/>
      <c r="H83" s="146"/>
      <c r="I83" s="137"/>
      <c r="J83" s="137"/>
      <c r="K83" s="141"/>
      <c r="L83" s="143"/>
    </row>
    <row r="84" spans="1:16">
      <c r="C84" s="135"/>
      <c r="D84" s="146"/>
      <c r="E84" s="146"/>
      <c r="F84" s="146"/>
      <c r="G84" s="146"/>
      <c r="H84" s="146"/>
      <c r="I84" s="137"/>
      <c r="J84" s="137"/>
      <c r="K84" s="141"/>
      <c r="L84" s="143"/>
    </row>
    <row r="85" spans="1:16">
      <c r="C85" s="154"/>
      <c r="D85" s="141"/>
      <c r="E85" s="148" t="str">
        <f>E8</f>
        <v>Montana-Dakota Utilities Co.</v>
      </c>
      <c r="F85" s="149"/>
      <c r="G85" s="149"/>
      <c r="H85" s="146"/>
      <c r="I85" s="146"/>
      <c r="J85" s="146"/>
      <c r="K85" s="146"/>
      <c r="L85" s="155"/>
    </row>
    <row r="86" spans="1:16">
      <c r="C86" s="202" t="s">
        <v>328</v>
      </c>
      <c r="D86" s="202" t="s">
        <v>329</v>
      </c>
      <c r="E86" s="202" t="s">
        <v>330</v>
      </c>
      <c r="F86" s="146" t="s">
        <v>127</v>
      </c>
      <c r="G86" s="146"/>
      <c r="H86" s="203" t="s">
        <v>331</v>
      </c>
      <c r="I86" s="146"/>
      <c r="J86" s="204" t="s">
        <v>332</v>
      </c>
      <c r="K86" s="146"/>
      <c r="L86" s="205"/>
    </row>
    <row r="87" spans="1:16">
      <c r="C87" s="154"/>
      <c r="D87" s="206" t="s">
        <v>333</v>
      </c>
      <c r="E87" s="146"/>
      <c r="F87" s="146"/>
      <c r="G87" s="146"/>
      <c r="H87" s="147"/>
      <c r="I87" s="146"/>
      <c r="J87" s="207" t="s">
        <v>21</v>
      </c>
      <c r="K87" s="146"/>
      <c r="L87" s="205"/>
    </row>
    <row r="88" spans="1:16">
      <c r="A88" s="147" t="s">
        <v>269</v>
      </c>
      <c r="C88" s="154"/>
      <c r="D88" s="208" t="s">
        <v>334</v>
      </c>
      <c r="E88" s="207" t="s">
        <v>335</v>
      </c>
      <c r="F88" s="209"/>
      <c r="G88" s="207" t="s">
        <v>336</v>
      </c>
      <c r="I88" s="209"/>
      <c r="J88" s="147" t="s">
        <v>337</v>
      </c>
      <c r="K88" s="146"/>
      <c r="L88" s="205"/>
    </row>
    <row r="89" spans="1:16" ht="16.5" thickBot="1">
      <c r="A89" s="151" t="s">
        <v>270</v>
      </c>
      <c r="C89" s="210" t="s">
        <v>338</v>
      </c>
      <c r="D89" s="146"/>
      <c r="E89" s="146"/>
      <c r="F89" s="146"/>
      <c r="G89" s="146"/>
      <c r="H89" s="146"/>
      <c r="I89" s="146"/>
      <c r="J89" s="146"/>
      <c r="K89" s="146"/>
      <c r="L89" s="211"/>
      <c r="M89" s="181"/>
      <c r="N89" s="181"/>
      <c r="O89" s="181"/>
    </row>
    <row r="90" spans="1:16">
      <c r="A90" s="147"/>
      <c r="C90" s="154"/>
      <c r="D90" s="146"/>
      <c r="E90" s="146"/>
      <c r="F90" s="146"/>
      <c r="G90" s="146"/>
      <c r="H90" s="146"/>
      <c r="I90" s="146"/>
      <c r="J90" s="146"/>
      <c r="K90" s="146"/>
      <c r="L90" s="212"/>
      <c r="M90" s="181"/>
      <c r="N90" s="213"/>
      <c r="O90" s="213"/>
    </row>
    <row r="91" spans="1:16">
      <c r="A91" s="147"/>
      <c r="C91" s="214" t="s">
        <v>339</v>
      </c>
      <c r="D91" s="215"/>
      <c r="E91" s="146"/>
      <c r="F91" s="146"/>
      <c r="G91" s="146"/>
      <c r="H91" s="146"/>
      <c r="I91" s="146"/>
      <c r="J91" s="146"/>
      <c r="K91" s="146"/>
      <c r="L91" s="212"/>
      <c r="M91" s="181"/>
      <c r="N91" s="213"/>
      <c r="O91" s="213"/>
    </row>
    <row r="92" spans="1:16">
      <c r="A92" s="147">
        <v>1</v>
      </c>
      <c r="C92" s="154" t="s">
        <v>340</v>
      </c>
      <c r="D92" s="155" t="s">
        <v>341</v>
      </c>
      <c r="E92" s="159">
        <v>933766886</v>
      </c>
      <c r="F92" s="146"/>
      <c r="G92" s="146" t="s">
        <v>342</v>
      </c>
      <c r="H92" s="216" t="s">
        <v>127</v>
      </c>
      <c r="I92" s="146"/>
      <c r="J92" s="146" t="s">
        <v>127</v>
      </c>
      <c r="K92" s="146"/>
      <c r="L92" s="217"/>
      <c r="M92" s="181"/>
      <c r="N92" s="217"/>
      <c r="O92" s="217"/>
    </row>
    <row r="93" spans="1:16">
      <c r="A93" s="147">
        <v>2</v>
      </c>
      <c r="C93" s="154" t="s">
        <v>343</v>
      </c>
      <c r="D93" s="155" t="s">
        <v>344</v>
      </c>
      <c r="E93" s="159">
        <v>259760104</v>
      </c>
      <c r="F93" s="146"/>
      <c r="G93" s="146" t="s">
        <v>278</v>
      </c>
      <c r="H93" s="216">
        <f>J251</f>
        <v>0.96328614043055671</v>
      </c>
      <c r="I93" s="146"/>
      <c r="J93" s="146">
        <f>+H93*E93</f>
        <v>250223308.02000001</v>
      </c>
      <c r="K93" s="146"/>
      <c r="L93" s="211"/>
      <c r="M93" s="181"/>
      <c r="N93" s="217"/>
      <c r="O93" s="217"/>
      <c r="P93" s="199"/>
    </row>
    <row r="94" spans="1:16">
      <c r="A94" s="147">
        <v>3</v>
      </c>
      <c r="C94" s="154" t="s">
        <v>345</v>
      </c>
      <c r="D94" s="155" t="s">
        <v>346</v>
      </c>
      <c r="E94" s="159">
        <v>343306660</v>
      </c>
      <c r="F94" s="146"/>
      <c r="G94" s="146" t="s">
        <v>342</v>
      </c>
      <c r="H94" s="216" t="s">
        <v>127</v>
      </c>
      <c r="I94" s="146"/>
      <c r="J94" s="146" t="s">
        <v>127</v>
      </c>
      <c r="K94" s="146"/>
      <c r="L94" s="211"/>
      <c r="M94" s="181"/>
      <c r="N94" s="217"/>
      <c r="O94" s="217"/>
    </row>
    <row r="95" spans="1:16">
      <c r="A95" s="147">
        <v>4</v>
      </c>
      <c r="C95" s="154" t="s">
        <v>347</v>
      </c>
      <c r="D95" s="155" t="s">
        <v>348</v>
      </c>
      <c r="E95" s="159">
        <v>34822412</v>
      </c>
      <c r="F95" s="146"/>
      <c r="G95" s="146" t="s">
        <v>349</v>
      </c>
      <c r="H95" s="216">
        <f>J269</f>
        <v>0.14653007156160172</v>
      </c>
      <c r="I95" s="146"/>
      <c r="J95" s="146">
        <f>+H95*E95</f>
        <v>5102530.5223075785</v>
      </c>
      <c r="K95" s="146"/>
      <c r="L95" s="211"/>
      <c r="M95" s="181"/>
      <c r="N95" s="217"/>
      <c r="O95" s="217"/>
    </row>
    <row r="96" spans="1:16" ht="16.5" thickBot="1">
      <c r="A96" s="147">
        <v>5</v>
      </c>
      <c r="C96" s="154" t="s">
        <v>350</v>
      </c>
      <c r="D96" s="155" t="s">
        <v>351</v>
      </c>
      <c r="E96" s="218">
        <v>129329799</v>
      </c>
      <c r="F96" s="146"/>
      <c r="G96" s="146" t="s">
        <v>352</v>
      </c>
      <c r="H96" s="216">
        <f>L274</f>
        <v>0.11049527214745082</v>
      </c>
      <c r="I96" s="146"/>
      <c r="J96" s="162">
        <f>+H96*E96</f>
        <v>14290331.337280113</v>
      </c>
      <c r="K96" s="146"/>
      <c r="L96" s="211"/>
      <c r="M96" s="181"/>
      <c r="N96" s="217"/>
      <c r="O96" s="217"/>
    </row>
    <row r="97" spans="1:15">
      <c r="A97" s="147">
        <v>6</v>
      </c>
      <c r="C97" s="135" t="s">
        <v>353</v>
      </c>
      <c r="D97" s="155"/>
      <c r="E97" s="146">
        <f>SUM(E92:E96)</f>
        <v>1700985861</v>
      </c>
      <c r="F97" s="146"/>
      <c r="G97" s="146" t="s">
        <v>354</v>
      </c>
      <c r="H97" s="219">
        <f>IF(J97&gt;0,J97/E97,0)</f>
        <v>0.15850582656876519</v>
      </c>
      <c r="I97" s="146"/>
      <c r="J97" s="146">
        <f>SUM(J92:J96)</f>
        <v>269616169.87958771</v>
      </c>
      <c r="K97" s="146"/>
      <c r="L97" s="211"/>
      <c r="M97" s="181"/>
      <c r="N97" s="217"/>
      <c r="O97" s="217"/>
    </row>
    <row r="98" spans="1:15">
      <c r="C98" s="154"/>
      <c r="D98" s="146"/>
      <c r="E98" s="146"/>
      <c r="F98" s="146"/>
      <c r="G98" s="146"/>
      <c r="H98" s="219"/>
      <c r="I98" s="146"/>
      <c r="J98" s="146"/>
      <c r="K98" s="146"/>
      <c r="L98" s="211"/>
      <c r="M98" s="181"/>
      <c r="N98" s="217"/>
      <c r="O98" s="217"/>
    </row>
    <row r="99" spans="1:15">
      <c r="C99" s="214" t="s">
        <v>355</v>
      </c>
      <c r="D99" s="146"/>
      <c r="E99" s="146"/>
      <c r="F99" s="146"/>
      <c r="G99" s="146"/>
      <c r="H99" s="146"/>
      <c r="I99" s="146"/>
      <c r="J99" s="146"/>
      <c r="K99" s="146"/>
      <c r="L99" s="211"/>
      <c r="M99" s="181"/>
      <c r="N99" s="217"/>
      <c r="O99" s="217"/>
    </row>
    <row r="100" spans="1:15">
      <c r="A100" s="147">
        <v>7</v>
      </c>
      <c r="C100" s="154" t="str">
        <f>+C92</f>
        <v xml:space="preserve">  Production</v>
      </c>
      <c r="D100" s="146" t="s">
        <v>356</v>
      </c>
      <c r="E100" s="159">
        <v>309922240</v>
      </c>
      <c r="F100" s="146"/>
      <c r="G100" s="146" t="str">
        <f>+G92</f>
        <v>NA</v>
      </c>
      <c r="H100" s="216" t="str">
        <f>+H92</f>
        <v xml:space="preserve"> </v>
      </c>
      <c r="I100" s="146"/>
      <c r="J100" s="146" t="s">
        <v>127</v>
      </c>
      <c r="K100" s="146"/>
      <c r="L100" s="211"/>
      <c r="M100" s="181"/>
      <c r="N100" s="217"/>
      <c r="O100" s="217"/>
    </row>
    <row r="101" spans="1:15">
      <c r="A101" s="147">
        <v>8</v>
      </c>
      <c r="C101" s="154" t="str">
        <f>+C93</f>
        <v xml:space="preserve">  Transmission</v>
      </c>
      <c r="D101" s="146" t="s">
        <v>357</v>
      </c>
      <c r="E101" s="159">
        <v>96746754</v>
      </c>
      <c r="F101" s="146"/>
      <c r="G101" s="146" t="str">
        <f t="shared" ref="G101:H104" si="1">+G93</f>
        <v>TP</v>
      </c>
      <c r="H101" s="216">
        <f t="shared" si="1"/>
        <v>0.96328614043055671</v>
      </c>
      <c r="I101" s="146"/>
      <c r="J101" s="146">
        <f>+H101*E101</f>
        <v>93194807.259844527</v>
      </c>
      <c r="K101" s="146"/>
      <c r="L101" s="211"/>
      <c r="M101" s="181"/>
      <c r="N101" s="217"/>
      <c r="O101" s="217"/>
    </row>
    <row r="102" spans="1:15">
      <c r="A102" s="147">
        <v>9</v>
      </c>
      <c r="C102" s="154" t="str">
        <f>+C94</f>
        <v xml:space="preserve">  Distribution</v>
      </c>
      <c r="D102" s="146" t="s">
        <v>358</v>
      </c>
      <c r="E102" s="159">
        <v>120639644</v>
      </c>
      <c r="F102" s="146"/>
      <c r="G102" s="146" t="str">
        <f t="shared" si="1"/>
        <v>NA</v>
      </c>
      <c r="H102" s="216" t="str">
        <f t="shared" si="1"/>
        <v xml:space="preserve"> </v>
      </c>
      <c r="I102" s="146"/>
      <c r="J102" s="146" t="s">
        <v>127</v>
      </c>
      <c r="K102" s="146"/>
      <c r="L102" s="211"/>
      <c r="M102" s="181"/>
      <c r="N102" s="217"/>
      <c r="O102" s="217"/>
    </row>
    <row r="103" spans="1:15">
      <c r="A103" s="147">
        <v>10</v>
      </c>
      <c r="C103" s="154" t="str">
        <f>+C95</f>
        <v xml:space="preserve">  General &amp; Intangible</v>
      </c>
      <c r="D103" s="146" t="s">
        <v>359</v>
      </c>
      <c r="E103" s="159">
        <v>14631085</v>
      </c>
      <c r="F103" s="146"/>
      <c r="G103" s="146" t="str">
        <f t="shared" si="1"/>
        <v>W/S</v>
      </c>
      <c r="H103" s="216">
        <f t="shared" si="1"/>
        <v>0.14653007156160172</v>
      </c>
      <c r="I103" s="146"/>
      <c r="J103" s="146">
        <f>+H103*E103</f>
        <v>2143893.9320738777</v>
      </c>
      <c r="K103" s="146"/>
      <c r="L103" s="211"/>
      <c r="M103" s="181"/>
      <c r="N103" s="217"/>
      <c r="O103" s="217"/>
    </row>
    <row r="104" spans="1:15" ht="16.5" thickBot="1">
      <c r="A104" s="147">
        <v>11</v>
      </c>
      <c r="C104" s="154" t="str">
        <f>+C96</f>
        <v xml:space="preserve">  Common</v>
      </c>
      <c r="D104" s="146" t="s">
        <v>351</v>
      </c>
      <c r="E104" s="218">
        <v>47743762</v>
      </c>
      <c r="F104" s="146"/>
      <c r="G104" s="146" t="str">
        <f t="shared" si="1"/>
        <v>CE</v>
      </c>
      <c r="H104" s="216">
        <f t="shared" si="1"/>
        <v>0.11049527214745082</v>
      </c>
      <c r="I104" s="146"/>
      <c r="J104" s="162">
        <f>+H104*E104</f>
        <v>5275459.9755331213</v>
      </c>
      <c r="K104" s="146"/>
      <c r="L104" s="211"/>
      <c r="M104" s="181"/>
      <c r="N104" s="217"/>
      <c r="O104" s="217"/>
    </row>
    <row r="105" spans="1:15">
      <c r="A105" s="147">
        <v>12</v>
      </c>
      <c r="C105" s="154" t="s">
        <v>360</v>
      </c>
      <c r="D105" s="146"/>
      <c r="E105" s="146">
        <f>SUM(E100:E104)</f>
        <v>589683485</v>
      </c>
      <c r="F105" s="146"/>
      <c r="G105" s="146"/>
      <c r="H105" s="146"/>
      <c r="I105" s="146"/>
      <c r="J105" s="146">
        <f>SUM(J100:J104)</f>
        <v>100614161.16745153</v>
      </c>
      <c r="K105" s="146"/>
      <c r="L105" s="211"/>
      <c r="M105" s="181"/>
      <c r="N105" s="217"/>
      <c r="O105" s="217"/>
    </row>
    <row r="106" spans="1:15">
      <c r="A106" s="147"/>
      <c r="D106" s="146" t="s">
        <v>127</v>
      </c>
      <c r="F106" s="146"/>
      <c r="G106" s="146"/>
      <c r="H106" s="219"/>
      <c r="I106" s="146"/>
      <c r="K106" s="146"/>
      <c r="L106" s="211"/>
      <c r="M106" s="181"/>
      <c r="N106" s="217"/>
      <c r="O106" s="217"/>
    </row>
    <row r="107" spans="1:15">
      <c r="A107" s="147"/>
      <c r="C107" s="214" t="s">
        <v>361</v>
      </c>
      <c r="D107" s="146"/>
      <c r="E107" s="146"/>
      <c r="F107" s="146"/>
      <c r="G107" s="146"/>
      <c r="H107" s="146"/>
      <c r="I107" s="146"/>
      <c r="J107" s="146"/>
      <c r="K107" s="146"/>
      <c r="L107" s="146"/>
      <c r="N107" s="146"/>
      <c r="O107" s="146"/>
    </row>
    <row r="108" spans="1:15">
      <c r="A108" s="147">
        <v>13</v>
      </c>
      <c r="C108" s="154" t="str">
        <f>+C100</f>
        <v xml:space="preserve">  Production</v>
      </c>
      <c r="D108" s="146" t="s">
        <v>362</v>
      </c>
      <c r="E108" s="146">
        <f>E92-E100</f>
        <v>623844646</v>
      </c>
      <c r="F108" s="146"/>
      <c r="G108" s="146"/>
      <c r="H108" s="219"/>
      <c r="I108" s="146"/>
      <c r="J108" s="146" t="s">
        <v>127</v>
      </c>
      <c r="K108" s="146"/>
      <c r="L108" s="146"/>
      <c r="N108" s="146"/>
      <c r="O108" s="146"/>
    </row>
    <row r="109" spans="1:15">
      <c r="A109" s="147">
        <v>14</v>
      </c>
      <c r="C109" s="154" t="str">
        <f>+C101</f>
        <v xml:space="preserve">  Transmission</v>
      </c>
      <c r="D109" s="146" t="s">
        <v>363</v>
      </c>
      <c r="E109" s="146">
        <f>E93-E101</f>
        <v>163013350</v>
      </c>
      <c r="F109" s="146"/>
      <c r="G109" s="146"/>
      <c r="H109" s="216"/>
      <c r="I109" s="146"/>
      <c r="J109" s="146">
        <f>J93-J101</f>
        <v>157028500.7601555</v>
      </c>
      <c r="K109" s="146"/>
      <c r="L109" s="146"/>
      <c r="N109" s="146"/>
      <c r="O109" s="146"/>
    </row>
    <row r="110" spans="1:15">
      <c r="A110" s="147">
        <v>15</v>
      </c>
      <c r="C110" s="154" t="str">
        <f>+C102</f>
        <v xml:space="preserve">  Distribution</v>
      </c>
      <c r="D110" s="146" t="s">
        <v>364</v>
      </c>
      <c r="E110" s="146">
        <f>E94-E102</f>
        <v>222667016</v>
      </c>
      <c r="F110" s="146"/>
      <c r="G110" s="146"/>
      <c r="H110" s="219"/>
      <c r="I110" s="146"/>
      <c r="J110" s="146" t="s">
        <v>127</v>
      </c>
      <c r="K110" s="146"/>
      <c r="L110" s="146"/>
      <c r="N110" s="146"/>
      <c r="O110" s="146"/>
    </row>
    <row r="111" spans="1:15">
      <c r="A111" s="147">
        <v>16</v>
      </c>
      <c r="C111" s="154" t="str">
        <f>+C103</f>
        <v xml:space="preserve">  General &amp; Intangible</v>
      </c>
      <c r="D111" s="146" t="s">
        <v>365</v>
      </c>
      <c r="E111" s="146">
        <f>E95-E103</f>
        <v>20191327</v>
      </c>
      <c r="F111" s="146"/>
      <c r="G111" s="146"/>
      <c r="H111" s="219"/>
      <c r="I111" s="146"/>
      <c r="J111" s="146">
        <f>J95-J103</f>
        <v>2958636.5902337008</v>
      </c>
      <c r="K111" s="146"/>
      <c r="L111" s="146"/>
      <c r="N111" s="146"/>
      <c r="O111" s="146"/>
    </row>
    <row r="112" spans="1:15" ht="16.5" thickBot="1">
      <c r="A112" s="147">
        <v>17</v>
      </c>
      <c r="C112" s="154" t="str">
        <f>+C104</f>
        <v xml:space="preserve">  Common</v>
      </c>
      <c r="D112" s="146" t="s">
        <v>366</v>
      </c>
      <c r="E112" s="162">
        <f>E96-E104</f>
        <v>81586037</v>
      </c>
      <c r="F112" s="146"/>
      <c r="G112" s="146"/>
      <c r="H112" s="219"/>
      <c r="I112" s="146"/>
      <c r="J112" s="162">
        <f>J96-J104</f>
        <v>9014871.3617469929</v>
      </c>
      <c r="K112" s="146"/>
      <c r="L112" s="146"/>
      <c r="N112" s="146"/>
      <c r="O112" s="146"/>
    </row>
    <row r="113" spans="1:17">
      <c r="A113" s="147">
        <v>18</v>
      </c>
      <c r="C113" s="154" t="s">
        <v>367</v>
      </c>
      <c r="D113" s="146"/>
      <c r="E113" s="146">
        <f>SUM(E108:E112)</f>
        <v>1111302376</v>
      </c>
      <c r="F113" s="146"/>
      <c r="G113" s="146" t="s">
        <v>368</v>
      </c>
      <c r="H113" s="219">
        <f>IF(J113&gt;0,J113/E113,0)</f>
        <v>0.15207562978533234</v>
      </c>
      <c r="I113" s="146"/>
      <c r="J113" s="146">
        <f>SUM(J108:J112)</f>
        <v>169002008.71213621</v>
      </c>
      <c r="K113" s="146"/>
      <c r="L113" s="146"/>
      <c r="N113" s="146"/>
      <c r="O113" s="146"/>
    </row>
    <row r="114" spans="1:17">
      <c r="A114" s="147"/>
      <c r="C114" s="154"/>
      <c r="D114" s="146"/>
      <c r="E114" s="146"/>
      <c r="F114" s="146"/>
      <c r="G114" s="146"/>
      <c r="H114" s="219"/>
      <c r="I114" s="146"/>
      <c r="J114" s="146"/>
      <c r="K114" s="146"/>
      <c r="L114" s="146"/>
      <c r="N114" s="146"/>
      <c r="O114" s="146"/>
    </row>
    <row r="115" spans="1:17">
      <c r="A115" s="165" t="s">
        <v>369</v>
      </c>
      <c r="C115" s="154" t="s">
        <v>370</v>
      </c>
      <c r="D115" s="146"/>
      <c r="E115" s="146"/>
      <c r="F115" s="146"/>
      <c r="G115" s="146"/>
      <c r="H115" s="219"/>
      <c r="I115" s="146"/>
      <c r="J115" s="146"/>
      <c r="K115" s="146"/>
      <c r="L115" s="146"/>
      <c r="N115" s="146"/>
      <c r="O115" s="146"/>
    </row>
    <row r="116" spans="1:17">
      <c r="B116" s="166"/>
      <c r="C116" s="214" t="s">
        <v>371</v>
      </c>
      <c r="D116" s="168" t="s">
        <v>372</v>
      </c>
      <c r="E116" s="220">
        <v>26180408</v>
      </c>
      <c r="F116" s="168"/>
      <c r="G116" s="168" t="s">
        <v>373</v>
      </c>
      <c r="H116" s="216">
        <v>1</v>
      </c>
      <c r="I116" s="168"/>
      <c r="J116" s="168">
        <f>E116</f>
        <v>26180408</v>
      </c>
      <c r="K116" s="146"/>
      <c r="L116" s="146"/>
      <c r="N116" s="146"/>
      <c r="O116" s="146"/>
    </row>
    <row r="117" spans="1:17">
      <c r="A117" s="147"/>
      <c r="D117" s="146"/>
      <c r="F117" s="146"/>
      <c r="I117" s="146"/>
      <c r="K117" s="146"/>
      <c r="L117" s="146"/>
      <c r="N117" s="146"/>
      <c r="O117" s="146"/>
    </row>
    <row r="118" spans="1:17">
      <c r="A118" s="147"/>
      <c r="C118" s="135" t="s">
        <v>374</v>
      </c>
      <c r="D118" s="215"/>
      <c r="E118" s="146"/>
      <c r="F118" s="146"/>
      <c r="G118" s="146"/>
      <c r="H118" s="146"/>
      <c r="I118" s="146"/>
      <c r="J118" s="146"/>
      <c r="K118" s="146"/>
      <c r="L118" s="146"/>
      <c r="N118" s="146"/>
      <c r="O118" s="146"/>
    </row>
    <row r="119" spans="1:17">
      <c r="A119" s="147">
        <v>19</v>
      </c>
      <c r="C119" s="214" t="s">
        <v>375</v>
      </c>
      <c r="D119" s="155" t="s">
        <v>376</v>
      </c>
      <c r="E119" s="221"/>
      <c r="F119" s="155"/>
      <c r="G119" s="155" t="str">
        <f>+G100</f>
        <v>NA</v>
      </c>
      <c r="H119" s="222" t="s">
        <v>377</v>
      </c>
      <c r="I119" s="146"/>
      <c r="J119" s="223">
        <v>0</v>
      </c>
      <c r="K119" s="146"/>
      <c r="L119" s="217"/>
      <c r="M119" s="181"/>
      <c r="N119" s="217"/>
      <c r="O119" s="217"/>
      <c r="P119" s="181"/>
      <c r="Q119" s="181"/>
    </row>
    <row r="120" spans="1:17">
      <c r="A120" s="147">
        <v>20</v>
      </c>
      <c r="C120" s="214" t="s">
        <v>378</v>
      </c>
      <c r="D120" s="155" t="s">
        <v>379</v>
      </c>
      <c r="E120" s="221">
        <v>-209967588</v>
      </c>
      <c r="F120" s="146"/>
      <c r="G120" s="146" t="s">
        <v>380</v>
      </c>
      <c r="H120" s="216">
        <f>+H113</f>
        <v>0.15207562978533234</v>
      </c>
      <c r="I120" s="146"/>
      <c r="J120" s="223">
        <f>E120*H120</f>
        <v>-31930953.17960719</v>
      </c>
      <c r="K120" s="146"/>
      <c r="L120" s="217"/>
      <c r="M120" s="181"/>
      <c r="N120" s="217"/>
      <c r="O120" s="217"/>
      <c r="P120" s="181"/>
      <c r="Q120" s="181"/>
    </row>
    <row r="121" spans="1:17">
      <c r="A121" s="147">
        <v>21</v>
      </c>
      <c r="C121" s="214" t="s">
        <v>381</v>
      </c>
      <c r="D121" s="155" t="s">
        <v>382</v>
      </c>
      <c r="E121" s="224">
        <v>-24526229</v>
      </c>
      <c r="F121" s="146"/>
      <c r="G121" s="146" t="s">
        <v>380</v>
      </c>
      <c r="H121" s="216">
        <f>+H120</f>
        <v>0.15207562978533234</v>
      </c>
      <c r="I121" s="146"/>
      <c r="J121" s="223">
        <f>E121*H121</f>
        <v>-3729841.7214342821</v>
      </c>
      <c r="K121" s="146"/>
      <c r="L121" s="217"/>
      <c r="M121" s="181"/>
      <c r="N121" s="217"/>
      <c r="O121" s="217"/>
      <c r="P121" s="181"/>
      <c r="Q121" s="181"/>
    </row>
    <row r="122" spans="1:17">
      <c r="A122" s="147">
        <v>22</v>
      </c>
      <c r="C122" s="214" t="s">
        <v>383</v>
      </c>
      <c r="D122" s="155" t="s">
        <v>384</v>
      </c>
      <c r="E122" s="224">
        <v>18018820</v>
      </c>
      <c r="F122" s="146"/>
      <c r="G122" s="146" t="str">
        <f>+G121</f>
        <v>NP</v>
      </c>
      <c r="H122" s="216">
        <f>+H121</f>
        <v>0.15207562978533234</v>
      </c>
      <c r="I122" s="146"/>
      <c r="J122" s="223">
        <f>E122*H122</f>
        <v>2740223.3994885422</v>
      </c>
      <c r="K122" s="146"/>
      <c r="L122" s="217"/>
      <c r="M122" s="181"/>
      <c r="N122" s="217"/>
      <c r="O122" s="217"/>
      <c r="P122" s="181"/>
      <c r="Q122" s="181"/>
    </row>
    <row r="123" spans="1:17">
      <c r="A123" s="147">
        <v>23</v>
      </c>
      <c r="C123" s="166" t="s">
        <v>385</v>
      </c>
      <c r="D123" s="199" t="s">
        <v>386</v>
      </c>
      <c r="E123" s="224">
        <v>-2178341</v>
      </c>
      <c r="F123" s="146"/>
      <c r="G123" s="146" t="s">
        <v>380</v>
      </c>
      <c r="H123" s="216">
        <f>+H121</f>
        <v>0.15207562978533234</v>
      </c>
      <c r="I123" s="146"/>
      <c r="J123" s="225">
        <f>E123*H123</f>
        <v>-331272.57946221065</v>
      </c>
      <c r="K123" s="146"/>
      <c r="L123" s="217"/>
      <c r="M123" s="181"/>
      <c r="N123" s="217"/>
      <c r="O123" s="217"/>
      <c r="P123" s="181"/>
      <c r="Q123" s="181"/>
    </row>
    <row r="124" spans="1:17">
      <c r="A124" s="147" t="s">
        <v>387</v>
      </c>
      <c r="C124" s="166" t="s">
        <v>388</v>
      </c>
      <c r="D124" s="199"/>
      <c r="E124" s="224"/>
      <c r="F124" s="146"/>
      <c r="G124" s="146"/>
      <c r="H124" s="216"/>
      <c r="I124" s="146"/>
      <c r="J124" s="225"/>
      <c r="K124" s="146"/>
      <c r="L124" s="217"/>
      <c r="M124" s="181"/>
      <c r="N124" s="217"/>
      <c r="O124" s="217"/>
      <c r="P124" s="181"/>
      <c r="Q124" s="181"/>
    </row>
    <row r="125" spans="1:17">
      <c r="A125" s="165" t="s">
        <v>389</v>
      </c>
      <c r="C125" s="166" t="s">
        <v>390</v>
      </c>
      <c r="D125" s="166" t="s">
        <v>391</v>
      </c>
      <c r="E125" s="226">
        <v>0</v>
      </c>
      <c r="F125" s="146"/>
      <c r="G125" s="168" t="s">
        <v>373</v>
      </c>
      <c r="H125" s="216">
        <v>1</v>
      </c>
      <c r="I125" s="168"/>
      <c r="J125" s="227">
        <f>E125*H125</f>
        <v>0</v>
      </c>
      <c r="K125" s="146"/>
      <c r="L125" s="217"/>
      <c r="M125" s="181"/>
      <c r="N125" s="217"/>
      <c r="O125" s="217"/>
      <c r="P125" s="181"/>
      <c r="Q125" s="181"/>
    </row>
    <row r="126" spans="1:17">
      <c r="A126" s="147">
        <v>24</v>
      </c>
      <c r="C126" s="214" t="s">
        <v>392</v>
      </c>
      <c r="D126" s="146"/>
      <c r="E126" s="223">
        <f>SUM(E119:E125)</f>
        <v>-218653338</v>
      </c>
      <c r="F126" s="146"/>
      <c r="G126" s="146"/>
      <c r="H126" s="146"/>
      <c r="I126" s="146"/>
      <c r="J126" s="223">
        <f>SUM(J119:J125)</f>
        <v>-33251844.08101514</v>
      </c>
      <c r="K126" s="146"/>
      <c r="L126" s="217"/>
      <c r="M126" s="181"/>
      <c r="N126" s="217"/>
      <c r="O126" s="217"/>
      <c r="P126" s="181"/>
      <c r="Q126" s="181"/>
    </row>
    <row r="127" spans="1:17">
      <c r="A127" s="147"/>
      <c r="D127" s="146"/>
      <c r="F127" s="146"/>
      <c r="G127" s="146"/>
      <c r="H127" s="219"/>
      <c r="I127" s="146"/>
      <c r="K127" s="146"/>
      <c r="L127" s="217"/>
      <c r="M127" s="181"/>
      <c r="N127" s="217"/>
      <c r="O127" s="217"/>
      <c r="P127" s="181"/>
      <c r="Q127" s="181"/>
    </row>
    <row r="128" spans="1:17">
      <c r="A128" s="147">
        <v>25</v>
      </c>
      <c r="C128" s="228" t="s">
        <v>393</v>
      </c>
      <c r="D128" s="146" t="s">
        <v>394</v>
      </c>
      <c r="E128" s="159">
        <v>0</v>
      </c>
      <c r="F128" s="146"/>
      <c r="G128" s="146" t="str">
        <f>+G101</f>
        <v>TP</v>
      </c>
      <c r="H128" s="216">
        <f>+H101</f>
        <v>0.96328614043055671</v>
      </c>
      <c r="I128" s="146"/>
      <c r="J128" s="146">
        <f>+H128*E128</f>
        <v>0</v>
      </c>
      <c r="K128" s="146"/>
      <c r="L128" s="217"/>
      <c r="M128" s="181"/>
      <c r="N128" s="217"/>
      <c r="O128" s="217"/>
      <c r="P128" s="181"/>
      <c r="Q128" s="181"/>
    </row>
    <row r="129" spans="1:17">
      <c r="A129" s="147"/>
      <c r="C129" s="154"/>
      <c r="D129" s="146"/>
      <c r="E129" s="146"/>
      <c r="F129" s="146"/>
      <c r="G129" s="146"/>
      <c r="H129" s="146"/>
      <c r="I129" s="146"/>
      <c r="J129" s="146"/>
      <c r="K129" s="146"/>
      <c r="L129" s="217"/>
      <c r="M129" s="181"/>
      <c r="N129" s="217"/>
      <c r="O129" s="217"/>
      <c r="P129" s="181"/>
      <c r="Q129" s="181"/>
    </row>
    <row r="130" spans="1:17">
      <c r="A130" s="147"/>
      <c r="C130" s="154" t="s">
        <v>395</v>
      </c>
      <c r="D130" s="215"/>
      <c r="E130" s="146"/>
      <c r="F130" s="146"/>
      <c r="G130" s="146"/>
      <c r="H130" s="146"/>
      <c r="I130" s="146"/>
      <c r="J130" s="146"/>
      <c r="K130" s="146"/>
      <c r="L130" s="217"/>
      <c r="M130" s="181"/>
      <c r="N130" s="217"/>
      <c r="O130" s="217"/>
      <c r="P130" s="181"/>
      <c r="Q130" s="181"/>
    </row>
    <row r="131" spans="1:17">
      <c r="A131" s="147">
        <v>26</v>
      </c>
      <c r="C131" s="154" t="s">
        <v>396</v>
      </c>
      <c r="D131" s="134" t="s">
        <v>397</v>
      </c>
      <c r="E131" s="146">
        <f>+E181/8</f>
        <v>4320409.875</v>
      </c>
      <c r="F131" s="146"/>
      <c r="G131" s="146"/>
      <c r="H131" s="219"/>
      <c r="I131" s="146"/>
      <c r="J131" s="146">
        <f>+J181/8</f>
        <v>1603098.9764952392</v>
      </c>
      <c r="K131" s="141"/>
      <c r="L131" s="217"/>
      <c r="M131" s="181"/>
      <c r="N131" s="217"/>
      <c r="O131" s="217"/>
      <c r="P131" s="181"/>
      <c r="Q131" s="181"/>
    </row>
    <row r="132" spans="1:17">
      <c r="A132" s="147">
        <v>27</v>
      </c>
      <c r="C132" s="214" t="s">
        <v>398</v>
      </c>
      <c r="D132" s="146" t="s">
        <v>399</v>
      </c>
      <c r="E132" s="159">
        <v>102465</v>
      </c>
      <c r="F132" s="146"/>
      <c r="G132" s="146" t="s">
        <v>400</v>
      </c>
      <c r="H132" s="216">
        <f>J261</f>
        <v>0.9023623600651306</v>
      </c>
      <c r="I132" s="146"/>
      <c r="J132" s="146">
        <f>+H132*E132</f>
        <v>92460.5592240736</v>
      </c>
      <c r="K132" s="146" t="s">
        <v>127</v>
      </c>
      <c r="L132" s="217"/>
      <c r="M132" s="181"/>
      <c r="N132" s="217"/>
      <c r="O132" s="217"/>
      <c r="P132" s="181"/>
      <c r="Q132" s="181"/>
    </row>
    <row r="133" spans="1:17" ht="16.5" thickBot="1">
      <c r="A133" s="147">
        <v>28</v>
      </c>
      <c r="C133" s="214" t="s">
        <v>401</v>
      </c>
      <c r="D133" s="146" t="s">
        <v>402</v>
      </c>
      <c r="E133" s="218">
        <v>2483612</v>
      </c>
      <c r="F133" s="146"/>
      <c r="G133" s="146" t="s">
        <v>403</v>
      </c>
      <c r="H133" s="216">
        <f>+H97</f>
        <v>0.15850582656876519</v>
      </c>
      <c r="I133" s="146"/>
      <c r="J133" s="162">
        <f>+H133*E133</f>
        <v>393666.97293610405</v>
      </c>
      <c r="K133" s="146"/>
      <c r="L133" s="146"/>
      <c r="N133" s="146"/>
      <c r="O133" s="146"/>
    </row>
    <row r="134" spans="1:17">
      <c r="A134" s="147">
        <v>29</v>
      </c>
      <c r="C134" s="154" t="s">
        <v>404</v>
      </c>
      <c r="D134" s="141"/>
      <c r="E134" s="146">
        <f>E131+E132+E133</f>
        <v>6906486.875</v>
      </c>
      <c r="F134" s="141"/>
      <c r="G134" s="141"/>
      <c r="H134" s="141"/>
      <c r="I134" s="141"/>
      <c r="J134" s="146">
        <f>J131+J132+J133</f>
        <v>2089226.5086554168</v>
      </c>
      <c r="K134" s="141"/>
      <c r="L134" s="146"/>
      <c r="N134" s="146"/>
      <c r="O134" s="146"/>
    </row>
    <row r="135" spans="1:17" ht="16.5" thickBot="1">
      <c r="D135" s="146"/>
      <c r="E135" s="229"/>
      <c r="F135" s="146"/>
      <c r="G135" s="146"/>
      <c r="H135" s="146"/>
      <c r="I135" s="146"/>
      <c r="J135" s="229"/>
      <c r="K135" s="146"/>
      <c r="L135" s="146"/>
      <c r="N135" s="146"/>
      <c r="O135" s="146"/>
    </row>
    <row r="136" spans="1:17" ht="16.5" thickBot="1">
      <c r="A136" s="147">
        <v>30</v>
      </c>
      <c r="C136" s="230" t="s">
        <v>405</v>
      </c>
      <c r="D136" s="146"/>
      <c r="E136" s="231">
        <f>+E134+E128+E126+E113+E116</f>
        <v>925735932.875</v>
      </c>
      <c r="F136" s="146"/>
      <c r="G136" s="146"/>
      <c r="H136" s="219"/>
      <c r="I136" s="146"/>
      <c r="J136" s="231">
        <f>+J134+J128+J126+J113+J116</f>
        <v>164019799.1397765</v>
      </c>
      <c r="K136" s="146"/>
      <c r="L136" s="146"/>
      <c r="N136" s="146"/>
      <c r="O136" s="146"/>
    </row>
    <row r="137" spans="1:17" ht="16.5" thickTop="1">
      <c r="A137" s="147"/>
      <c r="C137" s="154"/>
      <c r="D137" s="146"/>
      <c r="E137" s="217"/>
      <c r="F137" s="146"/>
      <c r="G137" s="146"/>
      <c r="H137" s="219"/>
      <c r="I137" s="146"/>
      <c r="J137" s="217"/>
      <c r="K137" s="146"/>
      <c r="L137" s="232"/>
    </row>
    <row r="138" spans="1:17">
      <c r="A138" s="147"/>
      <c r="C138" s="154"/>
      <c r="D138" s="146"/>
      <c r="E138" s="217"/>
      <c r="F138" s="146"/>
      <c r="G138" s="146"/>
      <c r="H138" s="219"/>
      <c r="I138" s="146"/>
      <c r="J138" s="217"/>
      <c r="K138" s="146"/>
      <c r="L138" s="232"/>
    </row>
    <row r="139" spans="1:17">
      <c r="A139" s="147"/>
      <c r="C139" s="154"/>
      <c r="D139" s="146"/>
      <c r="E139" s="217"/>
      <c r="F139" s="146"/>
      <c r="G139" s="146"/>
      <c r="H139" s="219"/>
      <c r="I139" s="146"/>
      <c r="J139" s="217"/>
      <c r="K139" s="146"/>
      <c r="L139" s="232"/>
    </row>
    <row r="140" spans="1:17">
      <c r="A140" s="147"/>
      <c r="C140" s="154"/>
      <c r="D140" s="146"/>
      <c r="E140" s="217"/>
      <c r="F140" s="146"/>
      <c r="G140" s="146"/>
      <c r="H140" s="219"/>
      <c r="I140" s="146"/>
      <c r="J140" s="217"/>
      <c r="K140" s="146"/>
      <c r="L140" s="232"/>
    </row>
    <row r="141" spans="1:17">
      <c r="A141" s="147"/>
      <c r="C141" s="154"/>
      <c r="D141" s="146"/>
      <c r="E141" s="217"/>
      <c r="F141" s="146"/>
      <c r="G141" s="146"/>
      <c r="H141" s="219"/>
      <c r="I141" s="146"/>
      <c r="J141" s="217"/>
      <c r="K141" s="146"/>
      <c r="L141" s="232"/>
    </row>
    <row r="142" spans="1:17">
      <c r="A142" s="147"/>
      <c r="C142" s="154"/>
      <c r="D142" s="146"/>
      <c r="E142" s="217"/>
      <c r="F142" s="146"/>
      <c r="G142" s="146"/>
      <c r="H142" s="219"/>
      <c r="I142" s="146"/>
      <c r="J142" s="217"/>
      <c r="K142" s="146"/>
      <c r="L142" s="232"/>
    </row>
    <row r="143" spans="1:17">
      <c r="A143" s="147"/>
      <c r="C143" s="154"/>
      <c r="D143" s="146"/>
      <c r="E143" s="217"/>
      <c r="F143" s="146"/>
      <c r="G143" s="146"/>
      <c r="H143" s="219"/>
      <c r="I143" s="146"/>
      <c r="J143" s="217"/>
      <c r="K143" s="146"/>
      <c r="L143" s="232"/>
    </row>
    <row r="144" spans="1:17">
      <c r="A144" s="147"/>
      <c r="C144" s="154"/>
      <c r="D144" s="146"/>
      <c r="E144" s="217"/>
      <c r="F144" s="146"/>
      <c r="G144" s="146"/>
      <c r="H144" s="219"/>
      <c r="I144" s="146"/>
      <c r="J144" s="217"/>
      <c r="K144" s="146"/>
      <c r="L144" s="232"/>
    </row>
    <row r="145" spans="1:12">
      <c r="A145" s="147"/>
      <c r="C145" s="154"/>
      <c r="D145" s="146"/>
      <c r="E145" s="217"/>
      <c r="F145" s="146"/>
      <c r="G145" s="146"/>
      <c r="H145" s="219"/>
      <c r="I145" s="146"/>
      <c r="J145" s="217"/>
      <c r="K145" s="146"/>
      <c r="L145" s="232"/>
    </row>
    <row r="146" spans="1:12">
      <c r="A146" s="147"/>
      <c r="C146" s="154"/>
      <c r="D146" s="146"/>
      <c r="E146" s="217"/>
      <c r="F146" s="146"/>
      <c r="G146" s="146"/>
      <c r="H146" s="219"/>
      <c r="I146" s="146"/>
      <c r="J146" s="217"/>
      <c r="K146" s="146"/>
      <c r="L146" s="232"/>
    </row>
    <row r="147" spans="1:12">
      <c r="A147" s="147"/>
      <c r="C147" s="154"/>
      <c r="D147" s="146"/>
      <c r="E147" s="217"/>
      <c r="F147" s="146"/>
      <c r="G147" s="146"/>
      <c r="H147" s="219"/>
      <c r="I147" s="146"/>
      <c r="J147" s="217"/>
      <c r="K147" s="146"/>
      <c r="L147" s="232"/>
    </row>
    <row r="148" spans="1:12">
      <c r="A148" s="147"/>
      <c r="C148" s="154"/>
      <c r="D148" s="146"/>
      <c r="E148" s="217"/>
      <c r="F148" s="146"/>
      <c r="G148" s="146"/>
      <c r="H148" s="219"/>
      <c r="I148" s="146"/>
      <c r="J148" s="217"/>
      <c r="K148" s="146"/>
      <c r="L148" s="232"/>
    </row>
    <row r="149" spans="1:12">
      <c r="A149" s="147"/>
      <c r="C149" s="154"/>
      <c r="D149" s="146"/>
      <c r="E149" s="217"/>
      <c r="F149" s="146"/>
      <c r="G149" s="146"/>
      <c r="H149" s="219"/>
      <c r="I149" s="146"/>
      <c r="J149" s="217"/>
      <c r="K149" s="146"/>
      <c r="L149" s="232"/>
    </row>
    <row r="150" spans="1:12">
      <c r="A150" s="147"/>
      <c r="C150" s="154"/>
      <c r="D150" s="146"/>
      <c r="E150" s="217"/>
      <c r="F150" s="146"/>
      <c r="G150" s="146"/>
      <c r="H150" s="219"/>
      <c r="I150" s="146"/>
      <c r="J150" s="217"/>
      <c r="K150" s="146"/>
      <c r="L150" s="232"/>
    </row>
    <row r="151" spans="1:12">
      <c r="A151" s="147"/>
      <c r="C151" s="154"/>
      <c r="D151" s="146"/>
      <c r="E151" s="217"/>
      <c r="F151" s="146"/>
      <c r="G151" s="146"/>
      <c r="H151" s="219"/>
      <c r="I151" s="146"/>
      <c r="J151" s="217"/>
      <c r="K151" s="146"/>
      <c r="L151" s="232"/>
    </row>
    <row r="152" spans="1:12">
      <c r="A152" s="147"/>
      <c r="C152" s="154"/>
      <c r="D152" s="146"/>
      <c r="E152" s="217"/>
      <c r="F152" s="146"/>
      <c r="G152" s="146"/>
      <c r="H152" s="219"/>
      <c r="I152" s="146"/>
      <c r="J152" s="217"/>
      <c r="K152" s="146"/>
      <c r="L152" s="232"/>
    </row>
    <row r="153" spans="1:12">
      <c r="A153" s="147"/>
      <c r="C153" s="154"/>
      <c r="D153" s="146"/>
      <c r="E153" s="217"/>
      <c r="F153" s="146"/>
      <c r="G153" s="146"/>
      <c r="H153" s="219"/>
      <c r="I153" s="146"/>
      <c r="J153" s="217"/>
      <c r="K153" s="146"/>
      <c r="L153" s="232"/>
    </row>
    <row r="154" spans="1:12">
      <c r="A154" s="147"/>
      <c r="C154" s="154"/>
      <c r="D154" s="146"/>
      <c r="E154" s="217"/>
      <c r="F154" s="146"/>
      <c r="G154" s="146"/>
      <c r="H154" s="219"/>
      <c r="I154" s="146"/>
      <c r="J154" s="217"/>
      <c r="K154" s="146"/>
      <c r="L154" s="232"/>
    </row>
    <row r="155" spans="1:12">
      <c r="A155" s="147"/>
      <c r="C155" s="154"/>
      <c r="D155" s="146"/>
      <c r="E155" s="217"/>
      <c r="F155" s="146"/>
      <c r="G155" s="146"/>
      <c r="H155" s="219"/>
      <c r="I155" s="146"/>
      <c r="J155" s="217"/>
      <c r="K155" s="146"/>
      <c r="L155" s="232"/>
    </row>
    <row r="156" spans="1:12">
      <c r="C156" s="135"/>
      <c r="D156" s="135"/>
      <c r="E156" s="136"/>
      <c r="F156" s="135"/>
      <c r="G156" s="135"/>
      <c r="H156" s="135"/>
      <c r="I156" s="137"/>
      <c r="J156" s="147"/>
      <c r="K156" s="147"/>
      <c r="L156" s="139"/>
    </row>
    <row r="157" spans="1:12">
      <c r="C157" s="135"/>
      <c r="D157" s="135"/>
      <c r="E157" s="136"/>
      <c r="F157" s="135"/>
      <c r="G157" s="135"/>
      <c r="H157" s="135"/>
      <c r="I157" s="137"/>
      <c r="J157" s="138"/>
      <c r="K157" s="138"/>
      <c r="L157" s="139"/>
    </row>
    <row r="158" spans="1:12">
      <c r="C158" s="135"/>
      <c r="D158" s="135"/>
      <c r="E158" s="136"/>
      <c r="F158" s="135"/>
      <c r="G158" s="135"/>
      <c r="H158" s="135"/>
      <c r="I158" s="137"/>
      <c r="J158" s="138"/>
      <c r="K158" s="138"/>
      <c r="L158" s="139"/>
    </row>
    <row r="159" spans="1:12">
      <c r="C159" s="135"/>
      <c r="D159" s="135"/>
      <c r="E159" s="136"/>
      <c r="F159" s="135"/>
      <c r="G159" s="135"/>
      <c r="H159" s="135"/>
      <c r="I159" s="137"/>
      <c r="J159" s="137"/>
      <c r="L159" s="140" t="s">
        <v>17</v>
      </c>
    </row>
    <row r="160" spans="1:12">
      <c r="C160" s="135"/>
      <c r="D160" s="135"/>
      <c r="E160" s="136"/>
      <c r="F160" s="135"/>
      <c r="G160" s="135"/>
      <c r="H160" s="135"/>
      <c r="I160" s="137"/>
      <c r="J160" s="137"/>
      <c r="K160" s="141"/>
      <c r="L160" s="142" t="s">
        <v>406</v>
      </c>
    </row>
    <row r="161" spans="1:15">
      <c r="C161" s="135"/>
      <c r="D161" s="135"/>
      <c r="E161" s="136"/>
      <c r="F161" s="135"/>
      <c r="G161" s="135"/>
      <c r="H161" s="135"/>
      <c r="I161" s="137"/>
      <c r="J161" s="137"/>
      <c r="K161" s="141"/>
      <c r="L161" s="142"/>
    </row>
    <row r="162" spans="1:15">
      <c r="C162" s="135" t="s">
        <v>265</v>
      </c>
      <c r="D162" s="135"/>
      <c r="E162" s="136" t="s">
        <v>266</v>
      </c>
      <c r="F162" s="135"/>
      <c r="G162" s="135"/>
      <c r="H162" s="135"/>
      <c r="I162" s="137"/>
      <c r="J162" s="144" t="str">
        <f>J5</f>
        <v>For the 12 months ended 12/31/16</v>
      </c>
      <c r="K162" s="145"/>
      <c r="L162" s="145"/>
    </row>
    <row r="163" spans="1:15">
      <c r="C163" s="135"/>
      <c r="D163" s="146" t="s">
        <v>127</v>
      </c>
      <c r="E163" s="146" t="s">
        <v>268</v>
      </c>
      <c r="F163" s="146"/>
      <c r="G163" s="146"/>
      <c r="H163" s="146"/>
      <c r="I163" s="137"/>
      <c r="J163" s="137"/>
      <c r="K163" s="141"/>
      <c r="L163" s="143"/>
    </row>
    <row r="164" spans="1:15">
      <c r="C164" s="135"/>
      <c r="D164" s="146"/>
      <c r="E164" s="146"/>
      <c r="F164" s="146"/>
      <c r="G164" s="146"/>
      <c r="H164" s="146"/>
      <c r="I164" s="137"/>
      <c r="J164" s="137"/>
      <c r="K164" s="141"/>
      <c r="L164" s="143"/>
    </row>
    <row r="165" spans="1:15">
      <c r="A165" s="147"/>
      <c r="E165" s="148" t="str">
        <f>E8</f>
        <v>Montana-Dakota Utilities Co.</v>
      </c>
      <c r="F165" s="149"/>
      <c r="G165" s="149"/>
      <c r="K165" s="146"/>
      <c r="L165" s="155"/>
    </row>
    <row r="166" spans="1:15">
      <c r="A166" s="147"/>
      <c r="C166" s="202" t="s">
        <v>328</v>
      </c>
      <c r="D166" s="202" t="s">
        <v>329</v>
      </c>
      <c r="E166" s="202" t="s">
        <v>330</v>
      </c>
      <c r="F166" s="146" t="s">
        <v>127</v>
      </c>
      <c r="G166" s="146"/>
      <c r="H166" s="203" t="s">
        <v>331</v>
      </c>
      <c r="I166" s="146"/>
      <c r="J166" s="204" t="s">
        <v>332</v>
      </c>
      <c r="K166" s="146"/>
      <c r="L166" s="155"/>
    </row>
    <row r="167" spans="1:15">
      <c r="A167" s="147"/>
      <c r="C167" s="202"/>
      <c r="D167" s="137"/>
      <c r="E167" s="137"/>
      <c r="F167" s="137"/>
      <c r="G167" s="137"/>
      <c r="H167" s="137"/>
      <c r="I167" s="137"/>
      <c r="J167" s="137"/>
      <c r="K167" s="137"/>
      <c r="L167" s="233"/>
    </row>
    <row r="168" spans="1:15">
      <c r="A168" s="147" t="s">
        <v>269</v>
      </c>
      <c r="C168" s="154"/>
      <c r="D168" s="206" t="s">
        <v>333</v>
      </c>
      <c r="E168" s="146"/>
      <c r="F168" s="146"/>
      <c r="G168" s="146"/>
      <c r="H168" s="147"/>
      <c r="I168" s="146"/>
      <c r="J168" s="207" t="s">
        <v>21</v>
      </c>
      <c r="K168" s="146"/>
      <c r="L168" s="233"/>
    </row>
    <row r="169" spans="1:15" ht="16.5" thickBot="1">
      <c r="A169" s="151" t="s">
        <v>270</v>
      </c>
      <c r="C169" s="154"/>
      <c r="D169" s="208" t="s">
        <v>334</v>
      </c>
      <c r="E169" s="207" t="s">
        <v>335</v>
      </c>
      <c r="F169" s="209"/>
      <c r="G169" s="207" t="s">
        <v>336</v>
      </c>
      <c r="I169" s="209"/>
      <c r="J169" s="147" t="s">
        <v>337</v>
      </c>
      <c r="K169" s="146"/>
      <c r="L169" s="233"/>
    </row>
    <row r="170" spans="1:15">
      <c r="C170" s="154"/>
      <c r="D170" s="146"/>
      <c r="E170" s="234"/>
      <c r="F170" s="235"/>
      <c r="G170" s="236"/>
      <c r="I170" s="235"/>
      <c r="J170" s="234"/>
      <c r="K170" s="146"/>
      <c r="L170" s="212"/>
      <c r="M170" s="181"/>
      <c r="N170" s="213"/>
      <c r="O170" s="213"/>
    </row>
    <row r="171" spans="1:15">
      <c r="A171" s="147"/>
      <c r="C171" s="154" t="s">
        <v>407</v>
      </c>
      <c r="D171" s="146"/>
      <c r="E171" s="146"/>
      <c r="F171" s="146"/>
      <c r="G171" s="146"/>
      <c r="H171" s="146"/>
      <c r="I171" s="146"/>
      <c r="J171" s="146"/>
      <c r="K171" s="146"/>
      <c r="L171" s="212"/>
      <c r="M171" s="181"/>
      <c r="N171" s="213"/>
      <c r="O171" s="213"/>
    </row>
    <row r="172" spans="1:15">
      <c r="A172" s="147">
        <v>1</v>
      </c>
      <c r="C172" s="154" t="s">
        <v>408</v>
      </c>
      <c r="D172" s="146" t="s">
        <v>409</v>
      </c>
      <c r="E172" s="159">
        <v>28490171</v>
      </c>
      <c r="F172" s="146"/>
      <c r="G172" s="146" t="s">
        <v>400</v>
      </c>
      <c r="H172" s="216">
        <f>J261</f>
        <v>0.9023623600651306</v>
      </c>
      <c r="I172" s="146"/>
      <c r="J172" s="146">
        <f>+H172*E172</f>
        <v>25708457.942219142</v>
      </c>
      <c r="K172" s="141"/>
      <c r="L172" s="217"/>
      <c r="M172" s="181"/>
      <c r="N172" s="217"/>
      <c r="O172" s="217"/>
    </row>
    <row r="173" spans="1:15">
      <c r="A173" s="198" t="s">
        <v>410</v>
      </c>
      <c r="B173" s="199"/>
      <c r="C173" s="200" t="s">
        <v>411</v>
      </c>
      <c r="D173" s="155"/>
      <c r="E173" s="159">
        <v>644022</v>
      </c>
      <c r="F173" s="146"/>
      <c r="G173" s="237"/>
      <c r="H173" s="216">
        <v>1</v>
      </c>
      <c r="I173" s="146"/>
      <c r="J173" s="146">
        <f>+H173*E173</f>
        <v>644022</v>
      </c>
      <c r="K173" s="141"/>
      <c r="L173" s="217"/>
      <c r="M173" s="181"/>
      <c r="N173" s="217"/>
      <c r="O173" s="217"/>
    </row>
    <row r="174" spans="1:15">
      <c r="A174" s="147">
        <v>2</v>
      </c>
      <c r="C174" s="154" t="s">
        <v>412</v>
      </c>
      <c r="D174" s="146" t="s">
        <v>413</v>
      </c>
      <c r="E174" s="159">
        <v>17495820</v>
      </c>
      <c r="F174" s="146"/>
      <c r="G174" s="146" t="s">
        <v>400</v>
      </c>
      <c r="H174" s="216">
        <f>+H172</f>
        <v>0.9023623600651306</v>
      </c>
      <c r="I174" s="146"/>
      <c r="J174" s="146">
        <f t="shared" ref="J174:J180" si="2">+H174*E174</f>
        <v>15787569.426474713</v>
      </c>
      <c r="K174" s="141"/>
      <c r="L174" s="217"/>
      <c r="M174" s="181"/>
      <c r="N174" s="217"/>
      <c r="O174" s="217"/>
    </row>
    <row r="175" spans="1:15">
      <c r="A175" s="147">
        <v>3</v>
      </c>
      <c r="C175" s="154" t="s">
        <v>414</v>
      </c>
      <c r="D175" s="146" t="s">
        <v>415</v>
      </c>
      <c r="E175" s="159">
        <v>24688415</v>
      </c>
      <c r="F175" s="146"/>
      <c r="G175" s="146" t="s">
        <v>349</v>
      </c>
      <c r="H175" s="216">
        <f>+H103</f>
        <v>0.14653007156160172</v>
      </c>
      <c r="I175" s="146"/>
      <c r="J175" s="146">
        <f t="shared" si="2"/>
        <v>3617595.2166925212</v>
      </c>
      <c r="K175" s="146"/>
      <c r="L175" s="217"/>
      <c r="M175" s="181"/>
      <c r="N175" s="217"/>
      <c r="O175" s="217"/>
    </row>
    <row r="176" spans="1:15">
      <c r="A176" s="147">
        <v>4</v>
      </c>
      <c r="C176" s="154" t="s">
        <v>416</v>
      </c>
      <c r="D176" s="146"/>
      <c r="E176" s="159">
        <v>206868</v>
      </c>
      <c r="F176" s="146"/>
      <c r="G176" s="146" t="str">
        <f>+G175</f>
        <v>W/S</v>
      </c>
      <c r="H176" s="216">
        <f>+H175</f>
        <v>0.14653007156160172</v>
      </c>
      <c r="I176" s="146"/>
      <c r="J176" s="146">
        <f t="shared" si="2"/>
        <v>30312.382843805426</v>
      </c>
      <c r="K176" s="146"/>
      <c r="L176" s="217"/>
      <c r="M176" s="181"/>
      <c r="N176" s="217"/>
      <c r="O176" s="217"/>
    </row>
    <row r="177" spans="1:15">
      <c r="A177" s="147">
        <v>5</v>
      </c>
      <c r="C177" s="200" t="s">
        <v>417</v>
      </c>
      <c r="D177" s="155"/>
      <c r="E177" s="159">
        <v>268597</v>
      </c>
      <c r="F177" s="146"/>
      <c r="G177" s="146" t="str">
        <f>+G176</f>
        <v>W/S</v>
      </c>
      <c r="H177" s="216">
        <f>+H176</f>
        <v>0.14653007156160172</v>
      </c>
      <c r="I177" s="146"/>
      <c r="J177" s="146">
        <f t="shared" si="2"/>
        <v>39357.537631231535</v>
      </c>
      <c r="K177" s="146"/>
      <c r="L177" s="217"/>
      <c r="M177" s="181"/>
      <c r="N177" s="217"/>
      <c r="O177" s="217"/>
    </row>
    <row r="178" spans="1:15">
      <c r="A178" s="147" t="s">
        <v>418</v>
      </c>
      <c r="C178" s="200" t="s">
        <v>419</v>
      </c>
      <c r="D178" s="155"/>
      <c r="E178" s="159">
        <v>0</v>
      </c>
      <c r="F178" s="146"/>
      <c r="G178" s="238" t="str">
        <f>+G172</f>
        <v>TE</v>
      </c>
      <c r="H178" s="239">
        <f>+H172</f>
        <v>0.9023623600651306</v>
      </c>
      <c r="I178" s="146"/>
      <c r="J178" s="146">
        <f>+H178*E178</f>
        <v>0</v>
      </c>
      <c r="K178" s="146"/>
      <c r="L178" s="217"/>
      <c r="M178" s="181"/>
      <c r="N178" s="217"/>
      <c r="O178" s="217"/>
    </row>
    <row r="179" spans="1:15">
      <c r="A179" s="147">
        <v>6</v>
      </c>
      <c r="C179" s="200" t="s">
        <v>350</v>
      </c>
      <c r="D179" s="155" t="str">
        <f>+D104</f>
        <v>356.1</v>
      </c>
      <c r="E179" s="159">
        <v>0</v>
      </c>
      <c r="F179" s="146"/>
      <c r="G179" s="146" t="s">
        <v>352</v>
      </c>
      <c r="H179" s="216">
        <f>+H104</f>
        <v>0.11049527214745082</v>
      </c>
      <c r="I179" s="146"/>
      <c r="J179" s="146">
        <f t="shared" si="2"/>
        <v>0</v>
      </c>
      <c r="K179" s="146"/>
      <c r="L179" s="217"/>
      <c r="M179" s="181"/>
      <c r="N179" s="217"/>
      <c r="O179" s="217"/>
    </row>
    <row r="180" spans="1:15" ht="16.5" thickBot="1">
      <c r="A180" s="147">
        <v>7</v>
      </c>
      <c r="C180" s="154" t="s">
        <v>420</v>
      </c>
      <c r="D180" s="146"/>
      <c r="E180" s="218">
        <v>0</v>
      </c>
      <c r="F180" s="146"/>
      <c r="G180" s="146" t="s">
        <v>127</v>
      </c>
      <c r="H180" s="216">
        <v>1</v>
      </c>
      <c r="I180" s="146"/>
      <c r="J180" s="162">
        <f t="shared" si="2"/>
        <v>0</v>
      </c>
      <c r="K180" s="146"/>
      <c r="L180" s="217"/>
      <c r="M180" s="181"/>
      <c r="N180" s="217"/>
      <c r="O180" s="217"/>
    </row>
    <row r="181" spans="1:15">
      <c r="A181" s="147">
        <v>8</v>
      </c>
      <c r="C181" s="154" t="s">
        <v>421</v>
      </c>
      <c r="D181" s="146"/>
      <c r="E181" s="146">
        <f>+E172-E173-E174+E175-E176-E177+E178+E179+E180</f>
        <v>34563279</v>
      </c>
      <c r="F181" s="146"/>
      <c r="G181" s="146"/>
      <c r="H181" s="146"/>
      <c r="I181" s="146"/>
      <c r="J181" s="146">
        <f>+J172-J173-J174+J175-J176-J177+J178+J179+J180</f>
        <v>12824791.811961913</v>
      </c>
      <c r="K181" s="146"/>
      <c r="L181" s="217"/>
      <c r="M181" s="181"/>
      <c r="N181" s="217"/>
      <c r="O181" s="217"/>
    </row>
    <row r="182" spans="1:15">
      <c r="A182" s="147"/>
      <c r="D182" s="146"/>
      <c r="F182" s="146"/>
      <c r="G182" s="146"/>
      <c r="H182" s="146"/>
      <c r="I182" s="146"/>
      <c r="K182" s="146"/>
      <c r="L182" s="211"/>
      <c r="M182" s="181"/>
      <c r="N182" s="181"/>
      <c r="O182" s="181"/>
    </row>
    <row r="183" spans="1:15">
      <c r="A183" s="147"/>
      <c r="C183" s="230" t="s">
        <v>422</v>
      </c>
      <c r="D183" s="146"/>
      <c r="E183" s="146"/>
      <c r="F183" s="146"/>
      <c r="G183" s="146"/>
      <c r="H183" s="146"/>
      <c r="I183" s="146"/>
      <c r="J183" s="146"/>
      <c r="K183" s="146"/>
      <c r="L183" s="211"/>
      <c r="M183" s="181"/>
      <c r="N183" s="181"/>
      <c r="O183" s="181"/>
    </row>
    <row r="184" spans="1:15">
      <c r="A184" s="147">
        <v>9</v>
      </c>
      <c r="C184" s="154" t="str">
        <f>+C172</f>
        <v xml:space="preserve">  Transmission </v>
      </c>
      <c r="D184" s="146" t="s">
        <v>423</v>
      </c>
      <c r="E184" s="159">
        <v>4858932</v>
      </c>
      <c r="F184" s="146"/>
      <c r="G184" s="146" t="s">
        <v>278</v>
      </c>
      <c r="H184" s="216">
        <f>+H128</f>
        <v>0.96328614043055671</v>
      </c>
      <c r="I184" s="146"/>
      <c r="J184" s="146">
        <f>+H184*E184</f>
        <v>4680541.852894526</v>
      </c>
      <c r="K184" s="146"/>
      <c r="L184" s="217"/>
      <c r="M184" s="181"/>
      <c r="N184" s="217"/>
      <c r="O184" s="217"/>
    </row>
    <row r="185" spans="1:15">
      <c r="A185" s="240" t="s">
        <v>424</v>
      </c>
      <c r="B185" s="241"/>
      <c r="C185" s="166" t="s">
        <v>425</v>
      </c>
      <c r="D185" s="168" t="s">
        <v>426</v>
      </c>
      <c r="E185" s="159">
        <v>0</v>
      </c>
      <c r="F185" s="242"/>
      <c r="G185" s="242" t="s">
        <v>373</v>
      </c>
      <c r="H185" s="243">
        <v>1</v>
      </c>
      <c r="I185" s="242"/>
      <c r="J185" s="242">
        <f>+H185*E185</f>
        <v>0</v>
      </c>
      <c r="K185" s="146"/>
      <c r="L185" s="217"/>
      <c r="M185" s="181"/>
      <c r="N185" s="217"/>
      <c r="O185" s="217"/>
    </row>
    <row r="186" spans="1:15">
      <c r="A186" s="147">
        <v>10</v>
      </c>
      <c r="C186" s="230" t="s">
        <v>347</v>
      </c>
      <c r="D186" s="242" t="s">
        <v>427</v>
      </c>
      <c r="E186" s="159">
        <v>2133351</v>
      </c>
      <c r="F186" s="146"/>
      <c r="G186" s="146" t="s">
        <v>349</v>
      </c>
      <c r="H186" s="216">
        <f>+H175</f>
        <v>0.14653007156160172</v>
      </c>
      <c r="I186" s="146"/>
      <c r="J186" s="146">
        <f>+H186*E186</f>
        <v>312600.07469601458</v>
      </c>
      <c r="K186" s="146"/>
      <c r="L186" s="217"/>
      <c r="M186" s="181"/>
      <c r="N186" s="217"/>
      <c r="O186" s="217"/>
    </row>
    <row r="187" spans="1:15" ht="16.5" thickBot="1">
      <c r="A187" s="147">
        <v>11</v>
      </c>
      <c r="C187" s="154" t="str">
        <f>+C179</f>
        <v xml:space="preserve">  Common</v>
      </c>
      <c r="D187" s="146" t="s">
        <v>428</v>
      </c>
      <c r="E187" s="218">
        <v>1813510</v>
      </c>
      <c r="F187" s="146"/>
      <c r="G187" s="146" t="s">
        <v>352</v>
      </c>
      <c r="H187" s="216">
        <f>+H179</f>
        <v>0.11049527214745082</v>
      </c>
      <c r="I187" s="146"/>
      <c r="J187" s="162">
        <f>+H187*E187</f>
        <v>200384.28099212353</v>
      </c>
      <c r="K187" s="146"/>
      <c r="L187" s="217"/>
      <c r="M187" s="181"/>
      <c r="N187" s="217"/>
      <c r="O187" s="217"/>
    </row>
    <row r="188" spans="1:15">
      <c r="A188" s="147">
        <v>12</v>
      </c>
      <c r="C188" s="154" t="s">
        <v>429</v>
      </c>
      <c r="D188" s="146"/>
      <c r="E188" s="146">
        <f>SUM(E184:E187)</f>
        <v>8805793</v>
      </c>
      <c r="F188" s="146"/>
      <c r="G188" s="146"/>
      <c r="H188" s="146"/>
      <c r="I188" s="146"/>
      <c r="J188" s="146">
        <f>SUM(J184:J187)</f>
        <v>5193526.2085826639</v>
      </c>
      <c r="K188" s="146"/>
      <c r="L188" s="217"/>
      <c r="M188" s="181"/>
      <c r="N188" s="217"/>
      <c r="O188" s="217"/>
    </row>
    <row r="189" spans="1:15">
      <c r="A189" s="147"/>
      <c r="C189" s="154"/>
      <c r="D189" s="146"/>
      <c r="E189" s="146"/>
      <c r="F189" s="146"/>
      <c r="G189" s="146"/>
      <c r="H189" s="146"/>
      <c r="I189" s="146"/>
      <c r="J189" s="146"/>
      <c r="K189" s="146"/>
      <c r="L189" s="217"/>
      <c r="M189" s="181"/>
      <c r="N189" s="217"/>
      <c r="O189" s="217"/>
    </row>
    <row r="190" spans="1:15">
      <c r="A190" s="147" t="s">
        <v>127</v>
      </c>
      <c r="C190" s="154" t="s">
        <v>430</v>
      </c>
      <c r="E190" s="146"/>
      <c r="F190" s="146"/>
      <c r="G190" s="146"/>
      <c r="H190" s="146"/>
      <c r="I190" s="146"/>
      <c r="J190" s="146"/>
      <c r="K190" s="146"/>
      <c r="L190" s="217"/>
      <c r="M190" s="181"/>
      <c r="N190" s="217"/>
      <c r="O190" s="217"/>
    </row>
    <row r="191" spans="1:15">
      <c r="A191" s="147"/>
      <c r="C191" s="154" t="s">
        <v>431</v>
      </c>
      <c r="F191" s="146"/>
      <c r="G191" s="146"/>
      <c r="I191" s="146"/>
      <c r="K191" s="146"/>
      <c r="L191" s="217"/>
      <c r="M191" s="181"/>
      <c r="N191" s="217"/>
      <c r="O191" s="217"/>
    </row>
    <row r="192" spans="1:15">
      <c r="A192" s="147">
        <v>13</v>
      </c>
      <c r="C192" s="154" t="s">
        <v>432</v>
      </c>
      <c r="D192" s="146" t="s">
        <v>433</v>
      </c>
      <c r="E192" s="159">
        <v>2173871</v>
      </c>
      <c r="F192" s="146"/>
      <c r="G192" s="146" t="s">
        <v>349</v>
      </c>
      <c r="H192" s="157">
        <f>+H186</f>
        <v>0.14653007156160172</v>
      </c>
      <c r="I192" s="146"/>
      <c r="J192" s="146">
        <f>+H192*E192</f>
        <v>318537.47319569072</v>
      </c>
      <c r="K192" s="146"/>
      <c r="L192" s="217"/>
      <c r="M192" s="181"/>
      <c r="N192" s="217"/>
      <c r="O192" s="217"/>
    </row>
    <row r="193" spans="1:15">
      <c r="A193" s="147">
        <v>14</v>
      </c>
      <c r="C193" s="154" t="s">
        <v>434</v>
      </c>
      <c r="D193" s="146" t="str">
        <f>+D192</f>
        <v>263.i</v>
      </c>
      <c r="E193" s="159">
        <v>3942</v>
      </c>
      <c r="F193" s="146"/>
      <c r="G193" s="146" t="str">
        <f>+G192</f>
        <v>W/S</v>
      </c>
      <c r="H193" s="157">
        <f>+H192</f>
        <v>0.14653007156160172</v>
      </c>
      <c r="I193" s="146"/>
      <c r="J193" s="146">
        <f>+H193*E193</f>
        <v>577.621542095834</v>
      </c>
      <c r="K193" s="146"/>
      <c r="L193" s="217"/>
      <c r="M193" s="181"/>
      <c r="N193" s="217"/>
      <c r="O193" s="217"/>
    </row>
    <row r="194" spans="1:15">
      <c r="A194" s="147">
        <v>15</v>
      </c>
      <c r="C194" s="154" t="s">
        <v>435</v>
      </c>
      <c r="D194" s="146" t="s">
        <v>127</v>
      </c>
      <c r="F194" s="146"/>
      <c r="G194" s="146"/>
      <c r="I194" s="146"/>
      <c r="K194" s="146"/>
      <c r="L194" s="217"/>
      <c r="M194" s="181"/>
      <c r="N194" s="217"/>
      <c r="O194" s="217"/>
    </row>
    <row r="195" spans="1:15">
      <c r="A195" s="147">
        <v>16</v>
      </c>
      <c r="C195" s="154" t="s">
        <v>436</v>
      </c>
      <c r="D195" s="146" t="s">
        <v>433</v>
      </c>
      <c r="E195" s="159">
        <v>7458882</v>
      </c>
      <c r="F195" s="146"/>
      <c r="G195" s="146" t="s">
        <v>403</v>
      </c>
      <c r="H195" s="157">
        <f>+H97</f>
        <v>0.15850582656876519</v>
      </c>
      <c r="I195" s="146"/>
      <c r="J195" s="146">
        <f>+H195*E195</f>
        <v>1182276.2566888845</v>
      </c>
      <c r="K195" s="146"/>
      <c r="L195" s="217"/>
      <c r="M195" s="181"/>
      <c r="N195" s="217"/>
      <c r="O195" s="217"/>
    </row>
    <row r="196" spans="1:15">
      <c r="A196" s="147">
        <v>17</v>
      </c>
      <c r="C196" s="154" t="s">
        <v>437</v>
      </c>
      <c r="D196" s="146" t="s">
        <v>433</v>
      </c>
      <c r="E196" s="159">
        <v>265219</v>
      </c>
      <c r="F196" s="146"/>
      <c r="G196" s="155" t="str">
        <f>+G119</f>
        <v>NA</v>
      </c>
      <c r="H196" s="244" t="s">
        <v>377</v>
      </c>
      <c r="I196" s="146"/>
      <c r="J196" s="146">
        <v>0</v>
      </c>
      <c r="K196" s="146"/>
      <c r="L196" s="217"/>
      <c r="M196" s="181"/>
      <c r="N196" s="217"/>
      <c r="O196" s="217"/>
    </row>
    <row r="197" spans="1:15">
      <c r="A197" s="147">
        <v>18</v>
      </c>
      <c r="C197" s="154" t="s">
        <v>438</v>
      </c>
      <c r="D197" s="146" t="str">
        <f>+D196</f>
        <v>263.i</v>
      </c>
      <c r="E197" s="159">
        <v>1184055</v>
      </c>
      <c r="F197" s="146"/>
      <c r="G197" s="146" t="str">
        <f>+G195</f>
        <v>GP</v>
      </c>
      <c r="H197" s="157">
        <f>+H195</f>
        <v>0.15850582656876519</v>
      </c>
      <c r="I197" s="146"/>
      <c r="J197" s="146">
        <f>+H197*E197</f>
        <v>187679.61647787926</v>
      </c>
      <c r="K197" s="146"/>
      <c r="L197" s="217"/>
      <c r="M197" s="181"/>
      <c r="N197" s="217"/>
      <c r="O197" s="217"/>
    </row>
    <row r="198" spans="1:15" ht="16.5" thickBot="1">
      <c r="A198" s="147">
        <v>19</v>
      </c>
      <c r="C198" s="154" t="s">
        <v>439</v>
      </c>
      <c r="D198" s="146"/>
      <c r="E198" s="218">
        <v>176210</v>
      </c>
      <c r="F198" s="146"/>
      <c r="G198" s="146" t="s">
        <v>403</v>
      </c>
      <c r="H198" s="157">
        <f>+H195</f>
        <v>0.15850582656876519</v>
      </c>
      <c r="I198" s="146"/>
      <c r="J198" s="162">
        <f>+H198*E198</f>
        <v>27930.311699682115</v>
      </c>
      <c r="K198" s="146"/>
      <c r="L198" s="217"/>
      <c r="M198" s="181"/>
      <c r="N198" s="217"/>
      <c r="O198" s="217"/>
    </row>
    <row r="199" spans="1:15">
      <c r="A199" s="147">
        <v>20</v>
      </c>
      <c r="C199" s="154" t="s">
        <v>440</v>
      </c>
      <c r="D199" s="146"/>
      <c r="E199" s="146">
        <f>SUM(E192:E198)</f>
        <v>11262179</v>
      </c>
      <c r="F199" s="146"/>
      <c r="G199" s="146"/>
      <c r="H199" s="157"/>
      <c r="I199" s="146"/>
      <c r="J199" s="146">
        <f>SUM(J192:J198)</f>
        <v>1717001.2796042324</v>
      </c>
      <c r="K199" s="146"/>
      <c r="L199" s="217"/>
      <c r="M199" s="181"/>
      <c r="N199" s="217"/>
      <c r="O199" s="217"/>
    </row>
    <row r="200" spans="1:15">
      <c r="A200" s="147"/>
      <c r="C200" s="154"/>
      <c r="D200" s="146"/>
      <c r="E200" s="146"/>
      <c r="F200" s="146"/>
      <c r="G200" s="146"/>
      <c r="H200" s="157"/>
      <c r="I200" s="146"/>
      <c r="J200" s="146"/>
      <c r="K200" s="146"/>
      <c r="L200" s="217"/>
      <c r="M200" s="181"/>
      <c r="N200" s="217"/>
      <c r="O200" s="217"/>
    </row>
    <row r="201" spans="1:15">
      <c r="A201" s="147" t="s">
        <v>441</v>
      </c>
      <c r="C201" s="154"/>
      <c r="D201" s="146"/>
      <c r="E201" s="146"/>
      <c r="F201" s="146"/>
      <c r="G201" s="146"/>
      <c r="H201" s="157"/>
      <c r="I201" s="146"/>
      <c r="J201" s="146"/>
      <c r="K201" s="146"/>
      <c r="L201" s="146"/>
      <c r="N201" s="146"/>
      <c r="O201" s="146"/>
    </row>
    <row r="202" spans="1:15">
      <c r="A202" s="147" t="s">
        <v>127</v>
      </c>
      <c r="C202" s="154" t="s">
        <v>442</v>
      </c>
      <c r="D202" s="146" t="s">
        <v>443</v>
      </c>
      <c r="E202" s="146"/>
      <c r="F202" s="146"/>
      <c r="H202" s="245"/>
      <c r="I202" s="146"/>
      <c r="K202" s="146"/>
      <c r="L202" s="146"/>
      <c r="N202" s="146"/>
      <c r="O202" s="146"/>
    </row>
    <row r="203" spans="1:15">
      <c r="A203" s="147">
        <v>21</v>
      </c>
      <c r="C203" s="246" t="s">
        <v>444</v>
      </c>
      <c r="D203" s="146"/>
      <c r="E203" s="247">
        <f>IF(E349&gt;0,1-(((1-E350)*(1-E349))/(1-E350*E349*E351)),0)</f>
        <v>0.38015999999999994</v>
      </c>
      <c r="F203" s="146"/>
      <c r="H203" s="245"/>
      <c r="I203" s="146"/>
      <c r="K203" s="146"/>
      <c r="L203" s="146"/>
      <c r="N203" s="146"/>
      <c r="O203" s="146"/>
    </row>
    <row r="204" spans="1:15">
      <c r="A204" s="147">
        <v>22</v>
      </c>
      <c r="C204" s="134" t="s">
        <v>445</v>
      </c>
      <c r="D204" s="146"/>
      <c r="E204" s="247">
        <f>IF(J293&gt;0,(E203/(1-E203))*(1-J290/J293),0)</f>
        <v>0.44461174905493128</v>
      </c>
      <c r="F204" s="146"/>
      <c r="H204" s="245"/>
      <c r="I204" s="146"/>
      <c r="K204" s="146"/>
      <c r="L204" s="146"/>
      <c r="N204" s="146"/>
      <c r="O204" s="146"/>
    </row>
    <row r="205" spans="1:15">
      <c r="A205" s="147"/>
      <c r="C205" s="154" t="s">
        <v>446</v>
      </c>
      <c r="D205" s="146"/>
      <c r="E205" s="146"/>
      <c r="F205" s="146"/>
      <c r="H205" s="245"/>
      <c r="I205" s="146"/>
      <c r="K205" s="146"/>
      <c r="L205" s="217"/>
      <c r="N205" s="217"/>
      <c r="O205" s="217"/>
    </row>
    <row r="206" spans="1:15">
      <c r="A206" s="147"/>
      <c r="C206" s="154" t="s">
        <v>447</v>
      </c>
      <c r="D206" s="146"/>
      <c r="E206" s="146"/>
      <c r="F206" s="146"/>
      <c r="H206" s="245"/>
      <c r="I206" s="146"/>
      <c r="K206" s="146"/>
      <c r="L206" s="146"/>
      <c r="N206" s="146"/>
      <c r="O206" s="146"/>
    </row>
    <row r="207" spans="1:15">
      <c r="A207" s="147">
        <v>23</v>
      </c>
      <c r="C207" s="246" t="s">
        <v>448</v>
      </c>
      <c r="D207" s="146"/>
      <c r="E207" s="248">
        <f>IF(E203&gt;0,1/(1-E203),0)</f>
        <v>1.6133195663397004</v>
      </c>
      <c r="F207" s="146"/>
      <c r="H207" s="245"/>
      <c r="I207" s="146"/>
      <c r="K207" s="146"/>
      <c r="L207" s="146"/>
      <c r="N207" s="146"/>
      <c r="O207" s="146"/>
    </row>
    <row r="208" spans="1:15">
      <c r="A208" s="147">
        <v>24</v>
      </c>
      <c r="C208" s="154" t="s">
        <v>449</v>
      </c>
      <c r="D208" s="249"/>
      <c r="E208" s="159">
        <v>0</v>
      </c>
      <c r="F208" s="146"/>
      <c r="H208" s="245"/>
      <c r="I208" s="146"/>
      <c r="K208" s="146"/>
      <c r="L208" s="146"/>
      <c r="N208" s="146"/>
      <c r="O208" s="146"/>
    </row>
    <row r="209" spans="1:15">
      <c r="A209" s="147"/>
      <c r="C209" s="154"/>
      <c r="D209" s="146"/>
      <c r="E209" s="146"/>
      <c r="F209" s="146"/>
      <c r="H209" s="245"/>
      <c r="I209" s="146"/>
      <c r="K209" s="146"/>
      <c r="L209" s="146"/>
      <c r="N209" s="146"/>
      <c r="O209" s="146"/>
    </row>
    <row r="210" spans="1:15">
      <c r="A210" s="147">
        <v>25</v>
      </c>
      <c r="C210" s="246" t="s">
        <v>450</v>
      </c>
      <c r="D210" s="250"/>
      <c r="E210" s="146">
        <f>E204*E214</f>
        <v>35122413.582846783</v>
      </c>
      <c r="F210" s="146"/>
      <c r="G210" s="146" t="s">
        <v>342</v>
      </c>
      <c r="H210" s="157"/>
      <c r="I210" s="146"/>
      <c r="J210" s="146">
        <f>E204*J214</f>
        <v>6222909.813246442</v>
      </c>
      <c r="K210" s="146"/>
      <c r="L210" s="217"/>
      <c r="M210" s="181"/>
      <c r="N210" s="217"/>
      <c r="O210" s="217"/>
    </row>
    <row r="211" spans="1:15" ht="16.5" thickBot="1">
      <c r="A211" s="147">
        <v>26</v>
      </c>
      <c r="C211" s="134" t="s">
        <v>451</v>
      </c>
      <c r="D211" s="250"/>
      <c r="E211" s="251">
        <f>E207*E208</f>
        <v>0</v>
      </c>
      <c r="F211" s="146"/>
      <c r="G211" s="134" t="s">
        <v>380</v>
      </c>
      <c r="H211" s="157">
        <f>H113</f>
        <v>0.15207562978533234</v>
      </c>
      <c r="I211" s="146"/>
      <c r="J211" s="251">
        <f>H211*E211</f>
        <v>0</v>
      </c>
      <c r="K211" s="146"/>
      <c r="L211" s="217"/>
      <c r="M211" s="181"/>
      <c r="N211" s="217"/>
      <c r="O211" s="217"/>
    </row>
    <row r="212" spans="1:15">
      <c r="A212" s="147">
        <v>27</v>
      </c>
      <c r="C212" s="252" t="s">
        <v>452</v>
      </c>
      <c r="D212" s="134" t="s">
        <v>453</v>
      </c>
      <c r="E212" s="253">
        <f>+E210+E211</f>
        <v>35122413.582846783</v>
      </c>
      <c r="F212" s="146"/>
      <c r="G212" s="146" t="s">
        <v>127</v>
      </c>
      <c r="H212" s="157" t="s">
        <v>127</v>
      </c>
      <c r="I212" s="146"/>
      <c r="J212" s="253">
        <f>+J210+J211</f>
        <v>6222909.813246442</v>
      </c>
      <c r="K212" s="146"/>
      <c r="L212" s="217"/>
      <c r="M212" s="181"/>
      <c r="N212" s="217"/>
      <c r="O212" s="217"/>
    </row>
    <row r="213" spans="1:15">
      <c r="A213" s="147" t="s">
        <v>127</v>
      </c>
      <c r="D213" s="254"/>
      <c r="E213" s="146"/>
      <c r="F213" s="146"/>
      <c r="G213" s="146"/>
      <c r="H213" s="157"/>
      <c r="I213" s="146"/>
      <c r="J213" s="146"/>
      <c r="K213" s="146"/>
      <c r="L213" s="217"/>
      <c r="M213" s="181"/>
      <c r="N213" s="217"/>
      <c r="O213" s="217"/>
    </row>
    <row r="214" spans="1:15">
      <c r="A214" s="147">
        <v>28</v>
      </c>
      <c r="C214" s="154" t="s">
        <v>454</v>
      </c>
      <c r="D214" s="219"/>
      <c r="E214" s="146">
        <f>+$J293*E136</f>
        <v>78995693.787901789</v>
      </c>
      <c r="F214" s="146"/>
      <c r="G214" s="146" t="s">
        <v>342</v>
      </c>
      <c r="H214" s="245"/>
      <c r="I214" s="146"/>
      <c r="J214" s="146">
        <f>+$J293*J136</f>
        <v>13996278.385521496</v>
      </c>
      <c r="K214" s="146"/>
      <c r="L214" s="217"/>
      <c r="M214" s="181"/>
      <c r="N214" s="217"/>
      <c r="O214" s="217"/>
    </row>
    <row r="215" spans="1:15">
      <c r="A215" s="147"/>
      <c r="C215" s="252" t="s">
        <v>455</v>
      </c>
      <c r="E215" s="146"/>
      <c r="F215" s="146"/>
      <c r="G215" s="146"/>
      <c r="H215" s="245"/>
      <c r="I215" s="146"/>
      <c r="J215" s="146"/>
      <c r="K215" s="146"/>
      <c r="L215" s="146"/>
      <c r="N215" s="146"/>
      <c r="O215" s="146"/>
    </row>
    <row r="216" spans="1:15">
      <c r="A216" s="147"/>
      <c r="C216" s="154"/>
      <c r="E216" s="217"/>
      <c r="F216" s="146"/>
      <c r="G216" s="146"/>
      <c r="H216" s="245"/>
      <c r="I216" s="146"/>
      <c r="J216" s="217"/>
      <c r="K216" s="146"/>
      <c r="L216" s="146"/>
      <c r="N216" s="146"/>
      <c r="O216" s="146"/>
    </row>
    <row r="217" spans="1:15">
      <c r="A217" s="147">
        <v>29</v>
      </c>
      <c r="C217" s="154" t="s">
        <v>456</v>
      </c>
      <c r="D217" s="146"/>
      <c r="E217" s="211">
        <f>+E214+E212+E199+E188+E181</f>
        <v>168749358.37074858</v>
      </c>
      <c r="F217" s="146"/>
      <c r="G217" s="146"/>
      <c r="H217" s="146"/>
      <c r="I217" s="146"/>
      <c r="J217" s="217">
        <f>+J214+J212+J199+J188+J181</f>
        <v>39954507.498916745</v>
      </c>
      <c r="K217" s="141"/>
      <c r="L217" s="146"/>
      <c r="N217" s="146"/>
      <c r="O217" s="146"/>
    </row>
    <row r="218" spans="1:15">
      <c r="A218" s="147">
        <v>30</v>
      </c>
      <c r="C218" s="214" t="s">
        <v>457</v>
      </c>
      <c r="D218" s="168"/>
      <c r="E218" s="217"/>
      <c r="F218" s="146"/>
      <c r="G218" s="146"/>
      <c r="H218" s="146"/>
      <c r="I218" s="146"/>
      <c r="J218" s="217"/>
      <c r="K218" s="141"/>
      <c r="L218" s="146"/>
      <c r="N218" s="146"/>
      <c r="O218" s="146"/>
    </row>
    <row r="219" spans="1:15">
      <c r="C219" s="355" t="s">
        <v>458</v>
      </c>
      <c r="D219" s="355"/>
      <c r="E219" s="217"/>
      <c r="F219" s="146"/>
      <c r="G219" s="146"/>
      <c r="H219" s="146"/>
      <c r="I219" s="146"/>
      <c r="J219" s="217"/>
      <c r="K219" s="141"/>
      <c r="L219" s="146"/>
      <c r="N219" s="146"/>
      <c r="O219" s="146"/>
    </row>
    <row r="220" spans="1:15">
      <c r="A220" s="147"/>
      <c r="C220" s="214" t="s">
        <v>459</v>
      </c>
      <c r="D220" s="168"/>
      <c r="E220" s="159">
        <v>1796825</v>
      </c>
      <c r="F220" s="146"/>
      <c r="G220" s="146"/>
      <c r="H220" s="146"/>
      <c r="I220" s="146"/>
      <c r="J220" s="255">
        <f>+E220</f>
        <v>1796825</v>
      </c>
      <c r="K220" s="141"/>
      <c r="L220" s="146"/>
      <c r="N220" s="146"/>
      <c r="O220" s="146"/>
    </row>
    <row r="221" spans="1:15">
      <c r="A221" s="147"/>
      <c r="C221" s="214"/>
      <c r="D221" s="168"/>
      <c r="E221" s="155"/>
      <c r="F221" s="146"/>
      <c r="G221" s="146"/>
      <c r="H221" s="146"/>
      <c r="I221" s="146"/>
      <c r="J221" s="217"/>
      <c r="K221" s="141"/>
      <c r="L221" s="217"/>
      <c r="N221" s="217"/>
      <c r="O221" s="217"/>
    </row>
    <row r="222" spans="1:15">
      <c r="A222" s="147" t="s">
        <v>460</v>
      </c>
      <c r="C222" s="214" t="s">
        <v>461</v>
      </c>
      <c r="D222" s="168"/>
      <c r="E222" s="217"/>
      <c r="F222" s="146"/>
      <c r="G222" s="146"/>
      <c r="H222" s="146"/>
      <c r="I222" s="146"/>
      <c r="J222" s="217"/>
      <c r="K222" s="141"/>
      <c r="L222" s="146"/>
      <c r="N222" s="146"/>
      <c r="O222" s="146"/>
    </row>
    <row r="223" spans="1:15">
      <c r="C223" s="355" t="s">
        <v>458</v>
      </c>
      <c r="D223" s="355"/>
      <c r="E223" s="217"/>
      <c r="F223" s="146"/>
      <c r="G223" s="146"/>
      <c r="H223" s="146"/>
      <c r="I223" s="146"/>
      <c r="J223" s="217"/>
      <c r="K223" s="141"/>
      <c r="L223" s="146"/>
      <c r="N223" s="146"/>
      <c r="O223" s="146"/>
    </row>
    <row r="224" spans="1:15" ht="16.5" thickBot="1">
      <c r="A224" s="147"/>
      <c r="C224" s="214" t="s">
        <v>462</v>
      </c>
      <c r="D224" s="168"/>
      <c r="E224" s="256">
        <v>3436578</v>
      </c>
      <c r="F224" s="146"/>
      <c r="G224" s="146"/>
      <c r="H224" s="146"/>
      <c r="I224" s="146"/>
      <c r="J224" s="255">
        <f>+E224</f>
        <v>3436578</v>
      </c>
      <c r="K224" s="141"/>
      <c r="L224" s="146"/>
      <c r="N224" s="146"/>
      <c r="O224" s="146"/>
    </row>
    <row r="225" spans="1:15" ht="16.5" thickBot="1">
      <c r="A225" s="147">
        <v>31</v>
      </c>
      <c r="C225" s="154" t="s">
        <v>463</v>
      </c>
      <c r="D225" s="146"/>
      <c r="E225" s="257">
        <f>+E217-E220-E224</f>
        <v>163515955.37074858</v>
      </c>
      <c r="F225" s="146"/>
      <c r="G225" s="146"/>
      <c r="H225" s="146"/>
      <c r="I225" s="146"/>
      <c r="J225" s="257">
        <f>+J217-J220-J224</f>
        <v>34721104.498916745</v>
      </c>
      <c r="K225" s="141"/>
      <c r="L225" s="146"/>
      <c r="N225" s="146"/>
      <c r="O225" s="146"/>
    </row>
    <row r="226" spans="1:15" ht="16.5" thickTop="1">
      <c r="A226" s="147"/>
      <c r="C226" s="214" t="s">
        <v>464</v>
      </c>
      <c r="D226" s="146"/>
      <c r="E226" s="217"/>
      <c r="F226" s="146"/>
      <c r="G226" s="146"/>
      <c r="H226" s="146"/>
      <c r="I226" s="146"/>
      <c r="J226" s="217"/>
      <c r="K226" s="141"/>
      <c r="L226" s="146"/>
      <c r="N226" s="146"/>
      <c r="O226" s="146"/>
    </row>
    <row r="227" spans="1:15">
      <c r="A227" s="147"/>
      <c r="C227" s="154"/>
      <c r="D227" s="146"/>
      <c r="E227" s="217"/>
      <c r="F227" s="146"/>
      <c r="G227" s="146"/>
      <c r="H227" s="146"/>
      <c r="I227" s="146"/>
      <c r="J227" s="217"/>
      <c r="K227" s="141"/>
      <c r="L227" s="146"/>
      <c r="N227" s="146"/>
      <c r="O227" s="146"/>
    </row>
    <row r="228" spans="1:15">
      <c r="A228" s="147"/>
      <c r="C228" s="154"/>
      <c r="D228" s="146"/>
      <c r="E228" s="217"/>
      <c r="F228" s="146"/>
      <c r="G228" s="146"/>
      <c r="H228" s="146"/>
      <c r="I228" s="146"/>
      <c r="J228" s="217"/>
      <c r="K228" s="141"/>
      <c r="L228" s="146"/>
      <c r="N228" s="146"/>
      <c r="O228" s="146"/>
    </row>
    <row r="229" spans="1:15">
      <c r="A229" s="135"/>
      <c r="C229" s="154"/>
      <c r="D229" s="146"/>
      <c r="E229" s="217"/>
      <c r="F229" s="146"/>
      <c r="G229" s="146"/>
      <c r="H229" s="219"/>
      <c r="I229" s="146"/>
      <c r="J229" s="217"/>
      <c r="K229" s="155"/>
      <c r="L229" s="217"/>
      <c r="N229" s="217"/>
      <c r="O229" s="217"/>
    </row>
    <row r="230" spans="1:15">
      <c r="A230" s="135"/>
      <c r="C230" s="200"/>
      <c r="D230" s="146"/>
      <c r="E230" s="217"/>
      <c r="F230" s="146"/>
      <c r="G230" s="146"/>
      <c r="H230" s="219"/>
      <c r="I230" s="146"/>
      <c r="J230" s="217"/>
      <c r="K230" s="146"/>
      <c r="L230" s="146"/>
      <c r="N230" s="146"/>
      <c r="O230" s="146"/>
    </row>
    <row r="231" spans="1:15">
      <c r="A231" s="135"/>
      <c r="C231" s="200"/>
      <c r="D231" s="146"/>
      <c r="E231" s="217"/>
      <c r="F231" s="146"/>
      <c r="G231" s="146"/>
      <c r="H231" s="219"/>
      <c r="I231" s="146"/>
      <c r="J231" s="217"/>
      <c r="K231" s="146"/>
      <c r="L231" s="146"/>
      <c r="N231" s="146"/>
      <c r="O231" s="146"/>
    </row>
    <row r="232" spans="1:15">
      <c r="A232" s="135"/>
      <c r="C232" s="200"/>
      <c r="D232" s="146"/>
      <c r="E232" s="217"/>
      <c r="F232" s="146"/>
      <c r="G232" s="146"/>
      <c r="H232" s="219"/>
      <c r="I232" s="146"/>
      <c r="J232" s="217"/>
      <c r="K232" s="146"/>
      <c r="L232" s="253"/>
    </row>
    <row r="233" spans="1:15">
      <c r="C233" s="135"/>
      <c r="D233" s="135"/>
      <c r="E233" s="136"/>
      <c r="F233" s="135"/>
      <c r="G233" s="135"/>
      <c r="H233" s="135"/>
      <c r="I233" s="137"/>
      <c r="J233" s="147"/>
      <c r="K233" s="147"/>
      <c r="L233" s="139"/>
    </row>
    <row r="234" spans="1:15">
      <c r="C234" s="135"/>
      <c r="D234" s="135"/>
      <c r="E234" s="136"/>
      <c r="F234" s="135"/>
      <c r="G234" s="135"/>
      <c r="H234" s="135"/>
      <c r="I234" s="137"/>
      <c r="J234" s="138"/>
      <c r="K234" s="138"/>
      <c r="L234" s="139"/>
    </row>
    <row r="235" spans="1:15">
      <c r="C235" s="135"/>
      <c r="D235" s="135"/>
      <c r="E235" s="136"/>
      <c r="F235" s="135"/>
      <c r="G235" s="135"/>
      <c r="H235" s="135"/>
      <c r="I235" s="137"/>
      <c r="J235" s="137"/>
      <c r="L235" s="140" t="s">
        <v>17</v>
      </c>
    </row>
    <row r="236" spans="1:15">
      <c r="C236" s="135"/>
      <c r="D236" s="135"/>
      <c r="E236" s="136"/>
      <c r="F236" s="135"/>
      <c r="G236" s="135"/>
      <c r="H236" s="135"/>
      <c r="I236" s="137"/>
      <c r="J236" s="137"/>
      <c r="K236" s="141"/>
      <c r="L236" s="142" t="s">
        <v>465</v>
      </c>
    </row>
    <row r="237" spans="1:15">
      <c r="C237" s="135"/>
      <c r="D237" s="135"/>
      <c r="E237" s="136"/>
      <c r="F237" s="135"/>
      <c r="G237" s="135"/>
      <c r="H237" s="135"/>
      <c r="I237" s="137"/>
      <c r="J237" s="137"/>
      <c r="K237" s="141"/>
      <c r="L237" s="142"/>
    </row>
    <row r="238" spans="1:15">
      <c r="C238" s="135" t="s">
        <v>265</v>
      </c>
      <c r="D238" s="135"/>
      <c r="E238" s="136" t="s">
        <v>266</v>
      </c>
      <c r="F238" s="135"/>
      <c r="G238" s="135"/>
      <c r="H238" s="135"/>
      <c r="I238" s="137"/>
      <c r="J238" s="144" t="str">
        <f>J5</f>
        <v>For the 12 months ended 12/31/16</v>
      </c>
      <c r="K238" s="145"/>
      <c r="L238" s="145"/>
    </row>
    <row r="239" spans="1:15">
      <c r="C239" s="135"/>
      <c r="D239" s="146" t="s">
        <v>127</v>
      </c>
      <c r="E239" s="146" t="s">
        <v>268</v>
      </c>
      <c r="F239" s="146"/>
      <c r="G239" s="146"/>
      <c r="H239" s="146"/>
      <c r="I239" s="137"/>
      <c r="J239" s="137"/>
      <c r="K239" s="141"/>
      <c r="L239" s="143"/>
    </row>
    <row r="240" spans="1:15">
      <c r="A240" s="147"/>
      <c r="K240" s="146"/>
      <c r="L240" s="155"/>
    </row>
    <row r="241" spans="1:20">
      <c r="A241" s="147"/>
      <c r="E241" s="148" t="str">
        <f>E8</f>
        <v>Montana-Dakota Utilities Co.</v>
      </c>
      <c r="F241" s="149"/>
      <c r="G241" s="149"/>
      <c r="K241" s="146"/>
      <c r="L241" s="155"/>
    </row>
    <row r="242" spans="1:20">
      <c r="A242" s="147"/>
      <c r="D242" s="210" t="s">
        <v>466</v>
      </c>
      <c r="F242" s="141"/>
      <c r="G242" s="141"/>
      <c r="H242" s="141"/>
      <c r="I242" s="141"/>
      <c r="J242" s="141"/>
      <c r="K242" s="146"/>
      <c r="L242" s="155"/>
    </row>
    <row r="243" spans="1:20">
      <c r="A243" s="147" t="s">
        <v>269</v>
      </c>
      <c r="C243" s="210"/>
      <c r="D243" s="141"/>
      <c r="E243" s="141"/>
      <c r="F243" s="141"/>
      <c r="G243" s="141"/>
      <c r="H243" s="141"/>
      <c r="I243" s="141"/>
      <c r="J243" s="141"/>
      <c r="K243" s="146"/>
      <c r="L243" s="155"/>
    </row>
    <row r="244" spans="1:20" ht="16.5" thickBot="1">
      <c r="A244" s="151" t="s">
        <v>270</v>
      </c>
      <c r="C244" s="258" t="s">
        <v>467</v>
      </c>
      <c r="D244" s="143"/>
      <c r="E244" s="143"/>
      <c r="F244" s="143"/>
      <c r="G244" s="143"/>
      <c r="H244" s="143"/>
      <c r="I244" s="199"/>
      <c r="J244" s="199"/>
      <c r="K244" s="155"/>
      <c r="L244" s="155"/>
    </row>
    <row r="245" spans="1:20">
      <c r="A245" s="147"/>
      <c r="C245" s="258"/>
      <c r="D245" s="143"/>
      <c r="E245" s="143"/>
      <c r="F245" s="143"/>
      <c r="G245" s="143"/>
      <c r="H245" s="143"/>
      <c r="I245" s="143"/>
      <c r="J245" s="143"/>
      <c r="K245" s="155"/>
      <c r="L245" s="155"/>
    </row>
    <row r="246" spans="1:20">
      <c r="A246" s="147">
        <v>1</v>
      </c>
      <c r="C246" s="183" t="s">
        <v>468</v>
      </c>
      <c r="D246" s="143"/>
      <c r="E246" s="155"/>
      <c r="F246" s="155"/>
      <c r="G246" s="155"/>
      <c r="H246" s="155"/>
      <c r="I246" s="155"/>
      <c r="J246" s="155">
        <f>E93</f>
        <v>259760104</v>
      </c>
      <c r="K246" s="155"/>
      <c r="L246" s="155"/>
    </row>
    <row r="247" spans="1:20">
      <c r="A247" s="147">
        <v>2</v>
      </c>
      <c r="C247" s="183" t="s">
        <v>469</v>
      </c>
      <c r="D247" s="199"/>
      <c r="E247" s="199"/>
      <c r="F247" s="199"/>
      <c r="G247" s="199"/>
      <c r="H247" s="199"/>
      <c r="I247" s="199"/>
      <c r="J247" s="159">
        <v>0</v>
      </c>
      <c r="K247" s="155"/>
      <c r="L247" s="155"/>
    </row>
    <row r="248" spans="1:20" ht="16.5" thickBot="1">
      <c r="A248" s="147">
        <v>3</v>
      </c>
      <c r="C248" s="259" t="s">
        <v>470</v>
      </c>
      <c r="D248" s="260"/>
      <c r="E248" s="261"/>
      <c r="F248" s="155"/>
      <c r="G248" s="155"/>
      <c r="H248" s="262"/>
      <c r="I248" s="155"/>
      <c r="J248" s="218">
        <v>9536795.9799999986</v>
      </c>
      <c r="K248" s="155"/>
      <c r="L248" s="155"/>
    </row>
    <row r="249" spans="1:20">
      <c r="A249" s="147">
        <v>4</v>
      </c>
      <c r="C249" s="183" t="s">
        <v>471</v>
      </c>
      <c r="D249" s="143"/>
      <c r="E249" s="155"/>
      <c r="F249" s="155"/>
      <c r="G249" s="155"/>
      <c r="H249" s="262"/>
      <c r="I249" s="155"/>
      <c r="J249" s="155">
        <f>J246-J247-J248</f>
        <v>250223308.02000001</v>
      </c>
      <c r="K249" s="155"/>
      <c r="L249" s="155"/>
    </row>
    <row r="250" spans="1:20">
      <c r="A250" s="147"/>
      <c r="C250" s="199"/>
      <c r="D250" s="143"/>
      <c r="E250" s="155"/>
      <c r="F250" s="155"/>
      <c r="G250" s="155"/>
      <c r="H250" s="262"/>
      <c r="I250" s="155"/>
      <c r="J250" s="199"/>
      <c r="K250" s="155"/>
      <c r="L250" s="155"/>
      <c r="N250" s="263"/>
      <c r="O250" s="263"/>
      <c r="P250" s="263"/>
      <c r="Q250" s="263"/>
      <c r="R250" s="263"/>
      <c r="S250" s="263"/>
      <c r="T250" s="263"/>
    </row>
    <row r="251" spans="1:20">
      <c r="A251" s="147">
        <v>5</v>
      </c>
      <c r="C251" s="183" t="s">
        <v>472</v>
      </c>
      <c r="D251" s="264"/>
      <c r="E251" s="265"/>
      <c r="F251" s="265"/>
      <c r="G251" s="265"/>
      <c r="H251" s="266"/>
      <c r="I251" s="155" t="s">
        <v>473</v>
      </c>
      <c r="J251" s="222">
        <f>IF(J246&gt;0,J249/J246,0)</f>
        <v>0.96328614043055671</v>
      </c>
      <c r="K251" s="155"/>
      <c r="L251" s="155"/>
      <c r="N251" s="263"/>
      <c r="O251" s="263"/>
      <c r="P251" s="263"/>
      <c r="Q251" s="263"/>
      <c r="R251" s="263"/>
      <c r="S251" s="263"/>
      <c r="T251" s="263"/>
    </row>
    <row r="252" spans="1:20">
      <c r="A252" s="147"/>
      <c r="C252" s="199"/>
      <c r="D252" s="199"/>
      <c r="E252" s="199"/>
      <c r="F252" s="199"/>
      <c r="G252" s="199"/>
      <c r="H252" s="199"/>
      <c r="I252" s="199"/>
      <c r="J252" s="199"/>
      <c r="K252" s="155"/>
      <c r="L252" s="155"/>
      <c r="N252" s="267"/>
      <c r="O252" s="267"/>
      <c r="P252" s="267"/>
      <c r="Q252" s="263"/>
      <c r="R252" s="263"/>
      <c r="S252" s="263"/>
      <c r="T252" s="263"/>
    </row>
    <row r="253" spans="1:20">
      <c r="A253" s="147"/>
      <c r="C253" s="200" t="s">
        <v>474</v>
      </c>
      <c r="D253" s="199"/>
      <c r="E253" s="199"/>
      <c r="F253" s="199"/>
      <c r="G253" s="199"/>
      <c r="H253" s="199"/>
      <c r="I253" s="199"/>
      <c r="J253" s="199"/>
      <c r="K253" s="155"/>
      <c r="L253" s="155"/>
      <c r="N253" s="268"/>
      <c r="O253" s="269"/>
      <c r="P253" s="270"/>
      <c r="Q253" s="268"/>
      <c r="R253" s="269"/>
      <c r="S253" s="269"/>
      <c r="T253" s="263"/>
    </row>
    <row r="254" spans="1:20">
      <c r="A254" s="147"/>
      <c r="C254" s="199"/>
      <c r="D254" s="199"/>
      <c r="E254" s="199"/>
      <c r="F254" s="199"/>
      <c r="G254" s="199"/>
      <c r="H254" s="199"/>
      <c r="I254" s="199"/>
      <c r="J254" s="199"/>
      <c r="K254" s="155"/>
      <c r="L254" s="155"/>
      <c r="N254" s="356"/>
      <c r="O254" s="357"/>
      <c r="P254" s="357"/>
      <c r="Q254" s="357"/>
      <c r="R254" s="357"/>
      <c r="S254" s="357"/>
      <c r="T254" s="263"/>
    </row>
    <row r="255" spans="1:20">
      <c r="A255" s="147">
        <v>6</v>
      </c>
      <c r="C255" s="199" t="s">
        <v>475</v>
      </c>
      <c r="D255" s="199"/>
      <c r="E255" s="143"/>
      <c r="F255" s="143"/>
      <c r="G255" s="143"/>
      <c r="H255" s="205"/>
      <c r="I255" s="143"/>
      <c r="J255" s="155">
        <f>E172</f>
        <v>28490171</v>
      </c>
      <c r="K255" s="155"/>
      <c r="L255" s="155"/>
      <c r="N255" s="271"/>
      <c r="O255" s="272"/>
      <c r="P255" s="273"/>
      <c r="Q255" s="274"/>
      <c r="R255" s="272"/>
      <c r="S255" s="272"/>
      <c r="T255" s="263"/>
    </row>
    <row r="256" spans="1:20" ht="16.5" thickBot="1">
      <c r="A256" s="147">
        <v>7</v>
      </c>
      <c r="C256" s="259" t="s">
        <v>476</v>
      </c>
      <c r="D256" s="260"/>
      <c r="E256" s="261"/>
      <c r="F256" s="261"/>
      <c r="G256" s="155"/>
      <c r="H256" s="155"/>
      <c r="I256" s="155"/>
      <c r="J256" s="218">
        <v>1801883</v>
      </c>
      <c r="K256" s="155"/>
      <c r="L256" s="155"/>
      <c r="M256" s="183"/>
      <c r="N256" s="275"/>
      <c r="O256" s="276"/>
      <c r="P256" s="273"/>
      <c r="Q256" s="274"/>
      <c r="R256" s="272"/>
      <c r="S256" s="272"/>
      <c r="T256" s="263"/>
    </row>
    <row r="257" spans="1:20">
      <c r="A257" s="147">
        <v>8</v>
      </c>
      <c r="C257" s="183" t="s">
        <v>477</v>
      </c>
      <c r="D257" s="264"/>
      <c r="E257" s="265"/>
      <c r="F257" s="265"/>
      <c r="G257" s="265"/>
      <c r="H257" s="266"/>
      <c r="I257" s="265"/>
      <c r="J257" s="155">
        <f>+J255-J256</f>
        <v>26688288</v>
      </c>
      <c r="K257" s="199"/>
      <c r="N257" s="277"/>
      <c r="O257" s="278"/>
      <c r="P257" s="279"/>
      <c r="Q257" s="279"/>
      <c r="R257" s="271"/>
      <c r="S257" s="271"/>
      <c r="T257" s="263"/>
    </row>
    <row r="258" spans="1:20">
      <c r="A258" s="147"/>
      <c r="C258" s="183"/>
      <c r="D258" s="143"/>
      <c r="E258" s="155"/>
      <c r="F258" s="155"/>
      <c r="G258" s="155"/>
      <c r="H258" s="155"/>
      <c r="I258" s="199"/>
      <c r="J258" s="199"/>
      <c r="K258" s="199"/>
      <c r="N258" s="275"/>
      <c r="O258" s="278"/>
      <c r="P258" s="271"/>
      <c r="Q258" s="271"/>
      <c r="R258" s="271"/>
      <c r="S258" s="271"/>
      <c r="T258" s="263"/>
    </row>
    <row r="259" spans="1:20">
      <c r="A259" s="147">
        <v>9</v>
      </c>
      <c r="C259" s="183" t="s">
        <v>478</v>
      </c>
      <c r="D259" s="143"/>
      <c r="E259" s="155"/>
      <c r="F259" s="155"/>
      <c r="G259" s="155"/>
      <c r="H259" s="155"/>
      <c r="I259" s="155"/>
      <c r="J259" s="239">
        <f>IF(J255&gt;0,J257/J255,0)</f>
        <v>0.93675422306170086</v>
      </c>
      <c r="K259" s="199"/>
      <c r="N259" s="274"/>
      <c r="O259" s="280"/>
      <c r="P259" s="281"/>
      <c r="Q259" s="281"/>
      <c r="R259" s="272"/>
      <c r="S259" s="272"/>
      <c r="T259" s="263"/>
    </row>
    <row r="260" spans="1:20">
      <c r="A260" s="147">
        <v>10</v>
      </c>
      <c r="C260" s="183" t="s">
        <v>479</v>
      </c>
      <c r="D260" s="143"/>
      <c r="E260" s="155"/>
      <c r="F260" s="155"/>
      <c r="G260" s="155"/>
      <c r="H260" s="155"/>
      <c r="I260" s="143" t="s">
        <v>278</v>
      </c>
      <c r="J260" s="282">
        <f>J251</f>
        <v>0.96328614043055671</v>
      </c>
      <c r="K260" s="199"/>
      <c r="N260" s="275"/>
      <c r="O260" s="281"/>
      <c r="P260" s="271"/>
      <c r="Q260" s="281"/>
      <c r="R260" s="272"/>
      <c r="S260" s="272"/>
      <c r="T260" s="263"/>
    </row>
    <row r="261" spans="1:20">
      <c r="A261" s="147">
        <v>11</v>
      </c>
      <c r="C261" s="183" t="s">
        <v>480</v>
      </c>
      <c r="D261" s="143"/>
      <c r="E261" s="143"/>
      <c r="F261" s="143"/>
      <c r="G261" s="143"/>
      <c r="H261" s="143"/>
      <c r="I261" s="143" t="s">
        <v>481</v>
      </c>
      <c r="J261" s="283">
        <f>+J260*J259</f>
        <v>0.9023623600651306</v>
      </c>
      <c r="K261" s="199"/>
      <c r="N261" s="277"/>
      <c r="O261" s="281"/>
      <c r="P261" s="271"/>
      <c r="Q261" s="281"/>
      <c r="R261" s="272"/>
      <c r="S261" s="272"/>
      <c r="T261" s="263"/>
    </row>
    <row r="262" spans="1:20">
      <c r="A262" s="147"/>
      <c r="D262" s="141"/>
      <c r="E262" s="146"/>
      <c r="F262" s="146"/>
      <c r="G262" s="146"/>
      <c r="H262" s="284"/>
      <c r="I262" s="146"/>
      <c r="N262" s="277"/>
      <c r="O262" s="281"/>
      <c r="P262" s="271"/>
      <c r="Q262" s="285"/>
      <c r="R262" s="272"/>
      <c r="S262" s="272"/>
      <c r="T262" s="263"/>
    </row>
    <row r="263" spans="1:20">
      <c r="A263" s="147" t="s">
        <v>127</v>
      </c>
      <c r="C263" s="154" t="s">
        <v>482</v>
      </c>
      <c r="D263" s="146"/>
      <c r="E263" s="146"/>
      <c r="F263" s="146"/>
      <c r="G263" s="146"/>
      <c r="H263" s="146"/>
      <c r="I263" s="146"/>
      <c r="J263" s="146"/>
      <c r="K263" s="146"/>
      <c r="L263" s="155"/>
      <c r="N263" s="275"/>
      <c r="O263" s="278"/>
      <c r="P263" s="273"/>
      <c r="Q263" s="274"/>
      <c r="R263" s="272"/>
      <c r="S263" s="272"/>
      <c r="T263" s="263"/>
    </row>
    <row r="264" spans="1:20" ht="16.5" thickBot="1">
      <c r="A264" s="147" t="s">
        <v>127</v>
      </c>
      <c r="C264" s="154"/>
      <c r="D264" s="162" t="s">
        <v>483</v>
      </c>
      <c r="E264" s="286" t="s">
        <v>484</v>
      </c>
      <c r="F264" s="286" t="s">
        <v>278</v>
      </c>
      <c r="G264" s="146"/>
      <c r="H264" s="286" t="s">
        <v>120</v>
      </c>
      <c r="I264" s="146"/>
      <c r="J264" s="146"/>
      <c r="K264" s="146"/>
      <c r="L264" s="155"/>
      <c r="N264" s="275"/>
      <c r="O264" s="278"/>
      <c r="P264" s="273"/>
      <c r="Q264" s="274"/>
      <c r="R264" s="272"/>
      <c r="S264" s="272"/>
      <c r="T264" s="263"/>
    </row>
    <row r="265" spans="1:20">
      <c r="A265" s="147">
        <v>12</v>
      </c>
      <c r="C265" s="154" t="s">
        <v>340</v>
      </c>
      <c r="D265" s="146" t="s">
        <v>485</v>
      </c>
      <c r="E265" s="159">
        <v>8406444</v>
      </c>
      <c r="F265" s="287">
        <v>0</v>
      </c>
      <c r="G265" s="287"/>
      <c r="H265" s="146">
        <f>E265*F265</f>
        <v>0</v>
      </c>
      <c r="I265" s="146"/>
      <c r="J265" s="146"/>
      <c r="K265" s="146"/>
      <c r="L265" s="155"/>
      <c r="N265" s="263"/>
      <c r="O265" s="263"/>
      <c r="P265" s="263"/>
      <c r="Q265" s="263"/>
      <c r="R265" s="263"/>
      <c r="S265" s="263"/>
      <c r="T265" s="263"/>
    </row>
    <row r="266" spans="1:20">
      <c r="A266" s="147">
        <v>13</v>
      </c>
      <c r="C266" s="154" t="s">
        <v>343</v>
      </c>
      <c r="D266" s="146" t="s">
        <v>486</v>
      </c>
      <c r="E266" s="159">
        <v>3486820</v>
      </c>
      <c r="F266" s="287">
        <f>+J251</f>
        <v>0.96328614043055671</v>
      </c>
      <c r="G266" s="287"/>
      <c r="H266" s="146">
        <f>E266*F266</f>
        <v>3358805.3801760739</v>
      </c>
      <c r="I266" s="146"/>
      <c r="J266" s="146"/>
      <c r="K266" s="146"/>
      <c r="L266" s="155"/>
      <c r="N266" s="263"/>
      <c r="O266" s="263"/>
      <c r="P266" s="263"/>
      <c r="Q266" s="263"/>
      <c r="R266" s="263"/>
      <c r="S266" s="263"/>
      <c r="T266" s="263"/>
    </row>
    <row r="267" spans="1:20">
      <c r="A267" s="147">
        <v>14</v>
      </c>
      <c r="C267" s="154" t="s">
        <v>345</v>
      </c>
      <c r="D267" s="146" t="s">
        <v>487</v>
      </c>
      <c r="E267" s="159">
        <v>8949868</v>
      </c>
      <c r="F267" s="287">
        <v>0</v>
      </c>
      <c r="G267" s="287"/>
      <c r="H267" s="146">
        <f>E267*F267</f>
        <v>0</v>
      </c>
      <c r="I267" s="146"/>
      <c r="J267" s="288" t="s">
        <v>488</v>
      </c>
      <c r="K267" s="146"/>
      <c r="L267" s="155"/>
      <c r="N267" s="263"/>
      <c r="O267" s="263"/>
      <c r="P267" s="263"/>
      <c r="Q267" s="263"/>
      <c r="R267" s="263"/>
      <c r="S267" s="263"/>
      <c r="T267" s="263"/>
    </row>
    <row r="268" spans="1:20" ht="16.5" thickBot="1">
      <c r="A268" s="147">
        <v>15</v>
      </c>
      <c r="C268" s="154" t="s">
        <v>489</v>
      </c>
      <c r="D268" s="146" t="s">
        <v>490</v>
      </c>
      <c r="E268" s="218">
        <v>2079162</v>
      </c>
      <c r="F268" s="287">
        <v>0</v>
      </c>
      <c r="G268" s="287"/>
      <c r="H268" s="162">
        <f>E268*F268</f>
        <v>0</v>
      </c>
      <c r="I268" s="146"/>
      <c r="J268" s="151" t="s">
        <v>491</v>
      </c>
      <c r="K268" s="146"/>
      <c r="L268" s="155"/>
      <c r="N268" s="263"/>
      <c r="O268" s="263"/>
      <c r="P268" s="263"/>
      <c r="Q268" s="263"/>
      <c r="R268" s="263"/>
      <c r="S268" s="263"/>
      <c r="T268" s="263"/>
    </row>
    <row r="269" spans="1:20">
      <c r="A269" s="147">
        <v>16</v>
      </c>
      <c r="C269" s="154" t="s">
        <v>492</v>
      </c>
      <c r="D269" s="146"/>
      <c r="E269" s="146">
        <f>SUM(E265:E268)</f>
        <v>22922294</v>
      </c>
      <c r="F269" s="146"/>
      <c r="G269" s="146"/>
      <c r="H269" s="146">
        <f>SUM(H265:H268)</f>
        <v>3358805.3801760739</v>
      </c>
      <c r="I269" s="202" t="s">
        <v>493</v>
      </c>
      <c r="J269" s="216">
        <f>IF(H269&gt;0,H269/E269,0)</f>
        <v>0.14653007156160172</v>
      </c>
      <c r="K269" s="284" t="s">
        <v>493</v>
      </c>
      <c r="L269" s="155" t="s">
        <v>494</v>
      </c>
    </row>
    <row r="270" spans="1:20">
      <c r="A270" s="147"/>
      <c r="C270" s="154"/>
      <c r="D270" s="146"/>
      <c r="E270" s="146"/>
      <c r="F270" s="146"/>
      <c r="G270" s="146"/>
      <c r="H270" s="146"/>
      <c r="I270" s="146"/>
      <c r="J270" s="146"/>
      <c r="K270" s="146"/>
      <c r="L270" s="155"/>
    </row>
    <row r="271" spans="1:20">
      <c r="A271" s="147"/>
      <c r="C271" s="154" t="s">
        <v>495</v>
      </c>
      <c r="D271" s="146"/>
      <c r="E271" s="146"/>
      <c r="F271" s="146"/>
      <c r="G271" s="146"/>
      <c r="H271" s="146"/>
      <c r="I271" s="146"/>
      <c r="J271" s="146"/>
      <c r="K271" s="146"/>
      <c r="L271" s="155"/>
    </row>
    <row r="272" spans="1:20">
      <c r="A272" s="147"/>
      <c r="C272" s="154"/>
      <c r="D272" s="146"/>
      <c r="E272" s="206" t="s">
        <v>484</v>
      </c>
      <c r="F272" s="146"/>
      <c r="G272" s="146"/>
      <c r="H272" s="284" t="s">
        <v>496</v>
      </c>
      <c r="I272" s="245" t="s">
        <v>127</v>
      </c>
      <c r="J272" s="219" t="str">
        <f>+J267</f>
        <v>W&amp;S Allocator</v>
      </c>
    </row>
    <row r="273" spans="1:19">
      <c r="A273" s="147">
        <v>17</v>
      </c>
      <c r="C273" s="154" t="s">
        <v>497</v>
      </c>
      <c r="D273" s="146" t="s">
        <v>498</v>
      </c>
      <c r="E273" s="159">
        <v>1731424585</v>
      </c>
      <c r="F273" s="146"/>
      <c r="H273" s="147" t="s">
        <v>499</v>
      </c>
      <c r="I273" s="289"/>
      <c r="J273" s="147" t="s">
        <v>500</v>
      </c>
      <c r="K273" s="146"/>
      <c r="L273" s="205" t="s">
        <v>352</v>
      </c>
    </row>
    <row r="274" spans="1:19">
      <c r="A274" s="147">
        <v>18</v>
      </c>
      <c r="C274" s="154" t="s">
        <v>501</v>
      </c>
      <c r="D274" s="146" t="s">
        <v>502</v>
      </c>
      <c r="E274" s="159">
        <v>564653459</v>
      </c>
      <c r="F274" s="146"/>
      <c r="H274" s="157">
        <f>IF(E276&gt;0,E273/E276,0)</f>
        <v>0.75407915228512157</v>
      </c>
      <c r="I274" s="284" t="s">
        <v>503</v>
      </c>
      <c r="J274" s="157">
        <f>J269</f>
        <v>0.14653007156160172</v>
      </c>
      <c r="K274" s="245" t="s">
        <v>493</v>
      </c>
      <c r="L274" s="290">
        <f>J274*H274</f>
        <v>0.11049527214745082</v>
      </c>
    </row>
    <row r="275" spans="1:19" ht="16.5" thickBot="1">
      <c r="A275" s="147">
        <v>19</v>
      </c>
      <c r="C275" s="291" t="s">
        <v>504</v>
      </c>
      <c r="D275" s="162" t="s">
        <v>505</v>
      </c>
      <c r="E275" s="218">
        <v>0</v>
      </c>
      <c r="F275" s="146"/>
      <c r="G275" s="146"/>
      <c r="H275" s="146" t="s">
        <v>127</v>
      </c>
      <c r="I275" s="146"/>
      <c r="J275" s="146"/>
      <c r="K275" s="146"/>
      <c r="L275" s="155"/>
    </row>
    <row r="276" spans="1:19">
      <c r="A276" s="147">
        <v>20</v>
      </c>
      <c r="C276" s="154" t="s">
        <v>506</v>
      </c>
      <c r="D276" s="146"/>
      <c r="E276" s="146">
        <f>E273+E274+E275</f>
        <v>2296078044</v>
      </c>
      <c r="F276" s="146"/>
      <c r="G276" s="146"/>
      <c r="H276" s="146"/>
      <c r="I276" s="146"/>
      <c r="J276" s="146"/>
      <c r="K276" s="146"/>
      <c r="L276" s="155"/>
    </row>
    <row r="277" spans="1:19">
      <c r="A277" s="147"/>
      <c r="C277" s="154"/>
      <c r="D277" s="146"/>
      <c r="F277" s="146"/>
      <c r="G277" s="146"/>
      <c r="H277" s="146"/>
      <c r="I277" s="146"/>
      <c r="J277" s="146"/>
      <c r="K277" s="146"/>
      <c r="L277" s="155"/>
    </row>
    <row r="278" spans="1:19" ht="16.5" thickBot="1">
      <c r="A278" s="147"/>
      <c r="B278" s="137"/>
      <c r="C278" s="135" t="s">
        <v>507</v>
      </c>
      <c r="D278" s="146"/>
      <c r="E278" s="146"/>
      <c r="F278" s="146"/>
      <c r="G278" s="146"/>
      <c r="H278" s="146"/>
      <c r="I278" s="146"/>
      <c r="J278" s="286" t="s">
        <v>484</v>
      </c>
      <c r="K278" s="146"/>
      <c r="L278" s="155"/>
      <c r="N278" s="292"/>
      <c r="O278" s="161"/>
      <c r="P278" s="293"/>
      <c r="Q278" s="292"/>
      <c r="R278" s="161"/>
      <c r="S278" s="161"/>
    </row>
    <row r="279" spans="1:19">
      <c r="A279" s="147">
        <v>21</v>
      </c>
      <c r="B279" s="137"/>
      <c r="C279" s="137"/>
      <c r="D279" s="146" t="s">
        <v>508</v>
      </c>
      <c r="E279" s="146"/>
      <c r="F279" s="146"/>
      <c r="G279" s="146"/>
      <c r="H279" s="146"/>
      <c r="I279" s="146"/>
      <c r="J279" s="294">
        <v>31766862</v>
      </c>
      <c r="K279" s="146"/>
      <c r="L279" s="155"/>
      <c r="N279" s="292"/>
      <c r="O279" s="161"/>
      <c r="P279" s="293"/>
      <c r="Q279" s="292"/>
      <c r="R279" s="161"/>
      <c r="S279" s="161"/>
    </row>
    <row r="280" spans="1:19">
      <c r="A280" s="147"/>
      <c r="C280" s="154"/>
      <c r="D280" s="146"/>
      <c r="E280" s="146"/>
      <c r="F280" s="146"/>
      <c r="G280" s="146"/>
      <c r="H280" s="146"/>
      <c r="I280" s="146"/>
      <c r="J280" s="146"/>
      <c r="K280" s="146"/>
      <c r="L280" s="155"/>
    </row>
    <row r="281" spans="1:19">
      <c r="A281" s="147">
        <v>22</v>
      </c>
      <c r="B281" s="137"/>
      <c r="C281" s="135"/>
      <c r="D281" s="146" t="s">
        <v>509</v>
      </c>
      <c r="E281" s="146"/>
      <c r="F281" s="146"/>
      <c r="G281" s="146"/>
      <c r="H281" s="146"/>
      <c r="I281" s="155"/>
      <c r="J281" s="295">
        <v>685000</v>
      </c>
      <c r="K281" s="146"/>
      <c r="L281" s="155"/>
    </row>
    <row r="282" spans="1:19">
      <c r="A282" s="147"/>
      <c r="B282" s="137"/>
      <c r="C282" s="135"/>
      <c r="D282" s="146"/>
      <c r="E282" s="146"/>
      <c r="F282" s="146"/>
      <c r="G282" s="146"/>
      <c r="H282" s="146"/>
      <c r="I282" s="146"/>
      <c r="J282" s="146"/>
      <c r="K282" s="146"/>
      <c r="L282" s="155"/>
    </row>
    <row r="283" spans="1:19">
      <c r="A283" s="147"/>
      <c r="B283" s="137"/>
      <c r="C283" s="135" t="s">
        <v>510</v>
      </c>
      <c r="D283" s="146"/>
      <c r="E283" s="146"/>
      <c r="F283" s="146"/>
      <c r="G283" s="146"/>
      <c r="H283" s="146"/>
      <c r="I283" s="146"/>
      <c r="J283" s="146"/>
      <c r="K283" s="146"/>
      <c r="L283" s="155"/>
    </row>
    <row r="284" spans="1:19">
      <c r="A284" s="147">
        <v>23</v>
      </c>
      <c r="B284" s="137"/>
      <c r="C284" s="135"/>
      <c r="D284" s="146" t="s">
        <v>511</v>
      </c>
      <c r="E284" s="137"/>
      <c r="F284" s="146"/>
      <c r="G284" s="146"/>
      <c r="H284" s="146"/>
      <c r="I284" s="146"/>
      <c r="J284" s="159">
        <f>2647950615+15000000</f>
        <v>2662950615</v>
      </c>
      <c r="K284" s="146"/>
      <c r="L284" s="155"/>
    </row>
    <row r="285" spans="1:19">
      <c r="A285" s="147">
        <v>24</v>
      </c>
      <c r="B285" s="137"/>
      <c r="C285" s="135"/>
      <c r="D285" s="146" t="s">
        <v>512</v>
      </c>
      <c r="E285" s="146"/>
      <c r="F285" s="146"/>
      <c r="G285" s="146"/>
      <c r="H285" s="146"/>
      <c r="I285" s="146"/>
      <c r="J285" s="296">
        <f>-E291</f>
        <v>-15000000</v>
      </c>
      <c r="K285" s="146"/>
      <c r="L285" s="155"/>
    </row>
    <row r="286" spans="1:19" ht="16.5" thickBot="1">
      <c r="A286" s="147">
        <v>25</v>
      </c>
      <c r="B286" s="137"/>
      <c r="C286" s="135"/>
      <c r="D286" s="146" t="s">
        <v>513</v>
      </c>
      <c r="E286" s="146"/>
      <c r="F286" s="146"/>
      <c r="G286" s="146"/>
      <c r="H286" s="146"/>
      <c r="I286" s="146"/>
      <c r="J286" s="218">
        <v>-1977246000</v>
      </c>
      <c r="K286" s="146"/>
      <c r="L286" s="155"/>
    </row>
    <row r="287" spans="1:19">
      <c r="A287" s="147">
        <v>26</v>
      </c>
      <c r="B287" s="137"/>
      <c r="C287" s="137"/>
      <c r="D287" s="146" t="s">
        <v>514</v>
      </c>
      <c r="E287" s="137" t="s">
        <v>515</v>
      </c>
      <c r="F287" s="137"/>
      <c r="G287" s="137"/>
      <c r="H287" s="137"/>
      <c r="I287" s="137"/>
      <c r="J287" s="146">
        <f>+J284+J285+J286</f>
        <v>670704615</v>
      </c>
      <c r="K287" s="146"/>
      <c r="L287" s="155"/>
    </row>
    <row r="288" spans="1:19">
      <c r="A288" s="147"/>
      <c r="C288" s="154"/>
      <c r="D288" s="146"/>
      <c r="E288" s="146"/>
      <c r="F288" s="146"/>
      <c r="G288" s="146"/>
      <c r="H288" s="284" t="s">
        <v>516</v>
      </c>
      <c r="I288" s="146"/>
      <c r="J288" s="146"/>
      <c r="K288" s="146"/>
      <c r="L288" s="155"/>
    </row>
    <row r="289" spans="1:16" ht="16.5" thickBot="1">
      <c r="A289" s="147"/>
      <c r="C289" s="154"/>
      <c r="D289" s="146"/>
      <c r="E289" s="151" t="s">
        <v>484</v>
      </c>
      <c r="F289" s="151" t="s">
        <v>517</v>
      </c>
      <c r="G289" s="146"/>
      <c r="H289" s="151" t="s">
        <v>518</v>
      </c>
      <c r="I289" s="146"/>
      <c r="J289" s="151" t="s">
        <v>519</v>
      </c>
      <c r="K289" s="146"/>
      <c r="L289" s="155"/>
    </row>
    <row r="290" spans="1:16">
      <c r="A290" s="147">
        <v>27</v>
      </c>
      <c r="C290" s="135" t="s">
        <v>520</v>
      </c>
      <c r="E290" s="159">
        <v>667643846</v>
      </c>
      <c r="F290" s="297">
        <f>IF($E$293&gt;0,E290/$E$293,0)</f>
        <v>0.49332737668070542</v>
      </c>
      <c r="G290" s="298"/>
      <c r="H290" s="298">
        <f>IF(E290&gt;0,J279/E290,0)</f>
        <v>4.7580550903482753E-2</v>
      </c>
      <c r="J290" s="298">
        <f>H290*F290</f>
        <v>2.3472788358237916E-2</v>
      </c>
      <c r="K290" s="299" t="s">
        <v>521</v>
      </c>
    </row>
    <row r="291" spans="1:16">
      <c r="A291" s="147">
        <v>28</v>
      </c>
      <c r="C291" s="135" t="s">
        <v>522</v>
      </c>
      <c r="E291" s="159">
        <v>15000000</v>
      </c>
      <c r="F291" s="297">
        <f>IF($E$293&gt;0,E291/$E$293,0)</f>
        <v>1.1083619948787159E-2</v>
      </c>
      <c r="G291" s="298"/>
      <c r="H291" s="298">
        <f>IF(E291&gt;0,J281/E291,0)</f>
        <v>4.5666666666666668E-2</v>
      </c>
      <c r="J291" s="298">
        <f>H291*F291</f>
        <v>5.0615197766128031E-4</v>
      </c>
      <c r="K291" s="146"/>
    </row>
    <row r="292" spans="1:16" ht="16.5" thickBot="1">
      <c r="A292" s="147">
        <v>29</v>
      </c>
      <c r="C292" s="135" t="s">
        <v>523</v>
      </c>
      <c r="E292" s="162">
        <f>J287</f>
        <v>670704615</v>
      </c>
      <c r="F292" s="297">
        <f>IF($E$293&gt;0,E292/$E$293,0)</f>
        <v>0.49558900337050737</v>
      </c>
      <c r="G292" s="298"/>
      <c r="H292" s="300">
        <v>0.12379999999999999</v>
      </c>
      <c r="J292" s="301">
        <f>H292*F292</f>
        <v>6.1353918617268813E-2</v>
      </c>
      <c r="K292" s="146"/>
    </row>
    <row r="293" spans="1:16">
      <c r="A293" s="147">
        <v>30</v>
      </c>
      <c r="C293" s="154" t="s">
        <v>524</v>
      </c>
      <c r="E293" s="146">
        <f>E292+E291+E290</f>
        <v>1353348461</v>
      </c>
      <c r="F293" s="146" t="s">
        <v>127</v>
      </c>
      <c r="G293" s="146"/>
      <c r="H293" s="146"/>
      <c r="I293" s="146"/>
      <c r="J293" s="298">
        <f>SUM(J290:J292)</f>
        <v>8.5332858953168014E-2</v>
      </c>
      <c r="K293" s="299" t="s">
        <v>525</v>
      </c>
    </row>
    <row r="294" spans="1:16">
      <c r="F294" s="146"/>
      <c r="G294" s="146"/>
      <c r="H294" s="146"/>
      <c r="I294" s="146"/>
    </row>
    <row r="295" spans="1:16">
      <c r="A295" s="147"/>
      <c r="L295" s="155"/>
    </row>
    <row r="296" spans="1:16">
      <c r="A296" s="147"/>
      <c r="C296" s="135" t="s">
        <v>526</v>
      </c>
      <c r="D296" s="137"/>
      <c r="E296" s="137"/>
      <c r="F296" s="137"/>
      <c r="G296" s="137"/>
      <c r="H296" s="137"/>
      <c r="I296" s="137"/>
      <c r="J296" s="137"/>
      <c r="K296" s="137"/>
      <c r="L296" s="183"/>
    </row>
    <row r="297" spans="1:16" ht="16.5" thickBot="1">
      <c r="A297" s="147"/>
      <c r="C297" s="135"/>
      <c r="D297" s="135"/>
      <c r="E297" s="135"/>
      <c r="F297" s="135"/>
      <c r="G297" s="135"/>
      <c r="H297" s="135"/>
      <c r="I297" s="135"/>
      <c r="J297" s="151" t="s">
        <v>527</v>
      </c>
      <c r="K297" s="302"/>
    </row>
    <row r="298" spans="1:16">
      <c r="A298" s="147"/>
      <c r="C298" s="135" t="s">
        <v>528</v>
      </c>
      <c r="D298" s="137"/>
      <c r="E298" s="137" t="s">
        <v>529</v>
      </c>
      <c r="F298" s="137" t="s">
        <v>530</v>
      </c>
      <c r="G298" s="137"/>
      <c r="H298" s="303" t="s">
        <v>127</v>
      </c>
      <c r="I298" s="304"/>
      <c r="J298" s="305"/>
      <c r="K298" s="305"/>
    </row>
    <row r="299" spans="1:16">
      <c r="A299" s="147">
        <v>31</v>
      </c>
      <c r="C299" s="134" t="s">
        <v>531</v>
      </c>
      <c r="D299" s="137"/>
      <c r="E299" s="137"/>
      <c r="G299" s="137"/>
      <c r="I299" s="304"/>
      <c r="J299" s="306">
        <v>0</v>
      </c>
      <c r="K299" s="307"/>
    </row>
    <row r="300" spans="1:16" ht="16.5" thickBot="1">
      <c r="A300" s="147">
        <v>32</v>
      </c>
      <c r="C300" s="229" t="s">
        <v>532</v>
      </c>
      <c r="D300" s="308"/>
      <c r="E300" s="229"/>
      <c r="F300" s="309"/>
      <c r="G300" s="309"/>
      <c r="H300" s="309"/>
      <c r="I300" s="137"/>
      <c r="J300" s="310">
        <v>0</v>
      </c>
      <c r="K300" s="311"/>
    </row>
    <row r="301" spans="1:16">
      <c r="A301" s="147">
        <v>33</v>
      </c>
      <c r="C301" s="134" t="s">
        <v>533</v>
      </c>
      <c r="D301" s="141"/>
      <c r="F301" s="137"/>
      <c r="G301" s="137"/>
      <c r="H301" s="137"/>
      <c r="I301" s="137"/>
      <c r="J301" s="312">
        <f>+J299-J300</f>
        <v>0</v>
      </c>
      <c r="K301" s="307"/>
      <c r="N301" s="181"/>
      <c r="O301" s="181"/>
    </row>
    <row r="302" spans="1:16">
      <c r="A302" s="147"/>
      <c r="C302" s="134" t="s">
        <v>127</v>
      </c>
      <c r="D302" s="141"/>
      <c r="F302" s="137"/>
      <c r="G302" s="137"/>
      <c r="H302" s="197"/>
      <c r="I302" s="137"/>
      <c r="J302" s="313" t="s">
        <v>127</v>
      </c>
      <c r="K302" s="305"/>
      <c r="L302" s="314"/>
      <c r="N302" s="181"/>
      <c r="O302" s="181"/>
    </row>
    <row r="303" spans="1:16">
      <c r="A303" s="147">
        <v>34</v>
      </c>
      <c r="C303" s="135" t="s">
        <v>534</v>
      </c>
      <c r="D303" s="141"/>
      <c r="F303" s="137"/>
      <c r="G303" s="137"/>
      <c r="H303" s="315"/>
      <c r="I303" s="137"/>
      <c r="J303" s="316">
        <v>18752</v>
      </c>
      <c r="K303" s="305"/>
      <c r="L303" s="317"/>
      <c r="M303" s="181"/>
      <c r="N303" s="318"/>
      <c r="O303" s="181"/>
      <c r="P303" s="181"/>
    </row>
    <row r="304" spans="1:16">
      <c r="A304" s="147"/>
      <c r="D304" s="137"/>
      <c r="E304" s="137"/>
      <c r="F304" s="137"/>
      <c r="G304" s="137"/>
      <c r="H304" s="137"/>
      <c r="I304" s="137"/>
      <c r="J304" s="313"/>
      <c r="K304" s="305"/>
      <c r="L304" s="212"/>
      <c r="M304" s="181"/>
      <c r="N304" s="213"/>
      <c r="O304" s="213"/>
      <c r="P304" s="181"/>
    </row>
    <row r="305" spans="1:16">
      <c r="C305" s="135" t="s">
        <v>535</v>
      </c>
      <c r="D305" s="137"/>
      <c r="E305" s="137" t="s">
        <v>536</v>
      </c>
      <c r="F305" s="137"/>
      <c r="G305" s="137"/>
      <c r="H305" s="137"/>
      <c r="I305" s="137"/>
      <c r="L305" s="212"/>
      <c r="M305" s="181"/>
      <c r="N305" s="213"/>
      <c r="O305" s="213"/>
      <c r="P305" s="181"/>
    </row>
    <row r="306" spans="1:16">
      <c r="A306" s="147">
        <v>35</v>
      </c>
      <c r="C306" s="135" t="s">
        <v>537</v>
      </c>
      <c r="D306" s="146"/>
      <c r="E306" s="146"/>
      <c r="F306" s="146"/>
      <c r="G306" s="146"/>
      <c r="H306" s="146"/>
      <c r="I306" s="146"/>
      <c r="J306" s="319">
        <v>17158514</v>
      </c>
      <c r="K306" s="320"/>
      <c r="L306" s="217"/>
      <c r="M306" s="181"/>
      <c r="N306" s="217"/>
      <c r="O306" s="217"/>
      <c r="P306" s="181"/>
    </row>
    <row r="307" spans="1:16">
      <c r="A307" s="147">
        <v>36</v>
      </c>
      <c r="C307" s="321" t="s">
        <v>538</v>
      </c>
      <c r="D307" s="322"/>
      <c r="E307" s="322"/>
      <c r="F307" s="322"/>
      <c r="G307" s="322"/>
      <c r="H307" s="137"/>
      <c r="I307" s="137"/>
      <c r="J307" s="319">
        <v>0</v>
      </c>
      <c r="L307" s="217"/>
      <c r="M307" s="181"/>
      <c r="N307" s="217"/>
      <c r="O307" s="217"/>
      <c r="P307" s="181"/>
    </row>
    <row r="308" spans="1:16">
      <c r="A308" s="147" t="s">
        <v>539</v>
      </c>
      <c r="C308" s="321" t="s">
        <v>540</v>
      </c>
      <c r="D308" s="322"/>
      <c r="E308" s="322"/>
      <c r="F308" s="322"/>
      <c r="G308" s="322"/>
      <c r="H308" s="137"/>
      <c r="I308" s="137"/>
      <c r="J308" s="319">
        <v>1796825</v>
      </c>
      <c r="L308" s="217"/>
      <c r="M308" s="181"/>
      <c r="N308" s="217"/>
      <c r="O308" s="217"/>
      <c r="P308" s="181"/>
    </row>
    <row r="309" spans="1:16" ht="16.5" thickBot="1">
      <c r="A309" s="147" t="s">
        <v>541</v>
      </c>
      <c r="C309" s="323" t="s">
        <v>542</v>
      </c>
      <c r="D309" s="309"/>
      <c r="E309" s="309"/>
      <c r="F309" s="309"/>
      <c r="G309" s="309"/>
      <c r="H309" s="137"/>
      <c r="I309" s="137"/>
      <c r="J309" s="324">
        <v>3436578</v>
      </c>
      <c r="L309" s="217"/>
      <c r="M309" s="181"/>
      <c r="N309" s="217"/>
      <c r="O309" s="217"/>
      <c r="P309" s="181"/>
    </row>
    <row r="310" spans="1:16">
      <c r="A310" s="147">
        <v>37</v>
      </c>
      <c r="C310" s="325" t="s">
        <v>543</v>
      </c>
      <c r="D310" s="147"/>
      <c r="E310" s="146"/>
      <c r="F310" s="146"/>
      <c r="G310" s="146"/>
      <c r="H310" s="146"/>
      <c r="I310" s="137"/>
      <c r="J310" s="326">
        <f>+J306-J307-J308-J309</f>
        <v>11925111</v>
      </c>
      <c r="K310" s="320"/>
      <c r="L310" s="217"/>
      <c r="M310" s="181"/>
      <c r="N310" s="217"/>
      <c r="O310" s="217"/>
      <c r="P310" s="181"/>
    </row>
    <row r="311" spans="1:16">
      <c r="A311" s="147"/>
      <c r="C311" s="327"/>
      <c r="D311" s="147"/>
      <c r="E311" s="146"/>
      <c r="F311" s="146"/>
      <c r="G311" s="146"/>
      <c r="H311" s="146"/>
      <c r="I311" s="137"/>
      <c r="J311" s="326"/>
      <c r="K311" s="320"/>
      <c r="L311" s="328"/>
      <c r="M311" s="181"/>
      <c r="N311" s="181"/>
      <c r="O311" s="181"/>
      <c r="P311" s="181"/>
    </row>
    <row r="312" spans="1:16">
      <c r="C312" s="135"/>
      <c r="D312" s="135"/>
      <c r="E312" s="136"/>
      <c r="F312" s="135"/>
      <c r="G312" s="135"/>
      <c r="H312" s="135"/>
      <c r="I312" s="137"/>
      <c r="J312" s="147"/>
      <c r="K312" s="147"/>
      <c r="L312" s="139"/>
    </row>
    <row r="313" spans="1:16">
      <c r="C313" s="135"/>
      <c r="D313" s="135"/>
      <c r="E313" s="136"/>
      <c r="F313" s="135"/>
      <c r="G313" s="135"/>
      <c r="H313" s="135"/>
      <c r="I313" s="137"/>
      <c r="J313" s="138"/>
      <c r="K313" s="138"/>
      <c r="L313" s="139"/>
    </row>
    <row r="314" spans="1:16">
      <c r="C314" s="135"/>
      <c r="D314" s="135"/>
      <c r="E314" s="136"/>
      <c r="F314" s="135"/>
      <c r="G314" s="135"/>
      <c r="H314" s="135"/>
      <c r="I314" s="137"/>
      <c r="J314" s="137"/>
      <c r="L314" s="140" t="s">
        <v>17</v>
      </c>
    </row>
    <row r="315" spans="1:16">
      <c r="C315" s="135"/>
      <c r="D315" s="135"/>
      <c r="E315" s="136"/>
      <c r="F315" s="135"/>
      <c r="G315" s="135"/>
      <c r="H315" s="135"/>
      <c r="I315" s="137"/>
      <c r="J315" s="137"/>
      <c r="K315" s="141"/>
      <c r="L315" s="142" t="s">
        <v>544</v>
      </c>
    </row>
    <row r="316" spans="1:16">
      <c r="C316" s="135"/>
      <c r="D316" s="135"/>
      <c r="E316" s="136"/>
      <c r="F316" s="135"/>
      <c r="G316" s="135"/>
      <c r="H316" s="135"/>
      <c r="I316" s="137"/>
      <c r="J316" s="137"/>
      <c r="K316" s="141"/>
      <c r="L316" s="142"/>
    </row>
    <row r="317" spans="1:16">
      <c r="C317" s="135" t="s">
        <v>265</v>
      </c>
      <c r="D317" s="135"/>
      <c r="E317" s="136" t="s">
        <v>266</v>
      </c>
      <c r="F317" s="135"/>
      <c r="G317" s="135"/>
      <c r="H317" s="135"/>
      <c r="I317" s="137"/>
      <c r="J317" s="144" t="str">
        <f>J5</f>
        <v>For the 12 months ended 12/31/16</v>
      </c>
      <c r="K317" s="145"/>
      <c r="L317" s="145"/>
    </row>
    <row r="318" spans="1:16">
      <c r="C318" s="135"/>
      <c r="D318" s="146" t="s">
        <v>127</v>
      </c>
      <c r="E318" s="146" t="s">
        <v>268</v>
      </c>
      <c r="F318" s="146"/>
      <c r="G318" s="146"/>
      <c r="H318" s="146"/>
      <c r="I318" s="137"/>
      <c r="J318" s="137"/>
      <c r="K318" s="141"/>
      <c r="L318" s="143"/>
    </row>
    <row r="319" spans="1:16">
      <c r="A319" s="147"/>
      <c r="B319" s="137"/>
      <c r="C319" s="327"/>
      <c r="D319" s="147"/>
      <c r="E319" s="146"/>
      <c r="F319" s="146"/>
      <c r="G319" s="146"/>
      <c r="H319" s="146"/>
      <c r="I319" s="137"/>
      <c r="J319" s="329"/>
      <c r="K319" s="305"/>
      <c r="L319" s="330"/>
    </row>
    <row r="320" spans="1:16">
      <c r="A320" s="147"/>
      <c r="B320" s="137"/>
      <c r="C320" s="327"/>
      <c r="D320" s="147"/>
      <c r="E320" s="148" t="str">
        <f>E8</f>
        <v>Montana-Dakota Utilities Co.</v>
      </c>
      <c r="F320" s="149"/>
      <c r="G320" s="149"/>
      <c r="H320" s="146"/>
      <c r="I320" s="137"/>
      <c r="J320" s="329"/>
      <c r="K320" s="305"/>
      <c r="L320" s="330"/>
    </row>
    <row r="321" spans="1:12">
      <c r="A321" s="147"/>
      <c r="B321" s="137"/>
      <c r="C321" s="327"/>
      <c r="D321" s="147"/>
      <c r="E321" s="146"/>
      <c r="F321" s="146"/>
      <c r="G321" s="146"/>
      <c r="H321" s="146"/>
      <c r="I321" s="137"/>
      <c r="J321" s="329"/>
      <c r="K321" s="305"/>
      <c r="L321" s="330"/>
    </row>
    <row r="322" spans="1:12">
      <c r="A322" s="147"/>
      <c r="B322" s="137"/>
      <c r="C322" s="135" t="s">
        <v>545</v>
      </c>
      <c r="D322" s="147"/>
      <c r="E322" s="146"/>
      <c r="F322" s="146"/>
      <c r="G322" s="146"/>
      <c r="H322" s="146"/>
      <c r="I322" s="137"/>
      <c r="J322" s="146"/>
      <c r="K322" s="137"/>
      <c r="L322" s="155"/>
    </row>
    <row r="323" spans="1:12">
      <c r="A323" s="147"/>
      <c r="B323" s="137"/>
      <c r="C323" s="135" t="s">
        <v>546</v>
      </c>
      <c r="D323" s="147"/>
      <c r="E323" s="146"/>
      <c r="F323" s="146"/>
      <c r="G323" s="146"/>
      <c r="H323" s="146"/>
      <c r="I323" s="137"/>
      <c r="J323" s="146"/>
      <c r="K323" s="137"/>
      <c r="L323" s="155"/>
    </row>
    <row r="324" spans="1:12">
      <c r="A324" s="147" t="s">
        <v>37</v>
      </c>
      <c r="B324" s="137"/>
      <c r="C324" s="135"/>
      <c r="D324" s="137"/>
      <c r="E324" s="146"/>
      <c r="F324" s="146"/>
      <c r="G324" s="146"/>
      <c r="H324" s="146"/>
      <c r="I324" s="137"/>
      <c r="J324" s="146"/>
      <c r="K324" s="137"/>
      <c r="L324" s="155"/>
    </row>
    <row r="325" spans="1:12" ht="16.5" thickBot="1">
      <c r="A325" s="151" t="s">
        <v>547</v>
      </c>
      <c r="B325" s="137"/>
      <c r="C325" s="135"/>
      <c r="D325" s="137"/>
      <c r="E325" s="146"/>
      <c r="F325" s="146"/>
      <c r="G325" s="146"/>
      <c r="H325" s="146"/>
      <c r="I325" s="137"/>
      <c r="J325" s="146"/>
      <c r="K325" s="137"/>
      <c r="L325" s="155"/>
    </row>
    <row r="326" spans="1:12">
      <c r="A326" s="147" t="s">
        <v>548</v>
      </c>
      <c r="B326" s="137"/>
      <c r="C326" s="258" t="s">
        <v>549</v>
      </c>
      <c r="D326" s="183"/>
      <c r="E326" s="155"/>
      <c r="F326" s="155"/>
      <c r="G326" s="155"/>
      <c r="H326" s="155"/>
      <c r="I326" s="183"/>
      <c r="J326" s="155"/>
      <c r="K326" s="183"/>
      <c r="L326" s="155"/>
    </row>
    <row r="327" spans="1:12">
      <c r="A327" s="147" t="s">
        <v>550</v>
      </c>
      <c r="B327" s="137"/>
      <c r="C327" s="258" t="s">
        <v>551</v>
      </c>
      <c r="D327" s="183"/>
      <c r="E327" s="155"/>
      <c r="F327" s="155"/>
      <c r="G327" s="155"/>
      <c r="H327" s="155"/>
      <c r="I327" s="183"/>
      <c r="J327" s="155"/>
      <c r="K327" s="183"/>
      <c r="L327" s="155"/>
    </row>
    <row r="328" spans="1:12">
      <c r="A328" s="147" t="s">
        <v>552</v>
      </c>
      <c r="B328" s="137"/>
      <c r="C328" s="258" t="s">
        <v>553</v>
      </c>
      <c r="D328" s="183"/>
      <c r="E328" s="183"/>
      <c r="F328" s="183"/>
      <c r="G328" s="183"/>
      <c r="H328" s="183"/>
      <c r="I328" s="183"/>
      <c r="J328" s="155"/>
      <c r="K328" s="183"/>
      <c r="L328" s="183"/>
    </row>
    <row r="329" spans="1:12">
      <c r="A329" s="147" t="s">
        <v>554</v>
      </c>
      <c r="B329" s="137"/>
      <c r="C329" s="258" t="s">
        <v>553</v>
      </c>
      <c r="D329" s="183"/>
      <c r="E329" s="183"/>
      <c r="F329" s="183"/>
      <c r="G329" s="183"/>
      <c r="H329" s="183"/>
      <c r="I329" s="183"/>
      <c r="J329" s="155"/>
      <c r="K329" s="183"/>
      <c r="L329" s="183"/>
    </row>
    <row r="330" spans="1:12">
      <c r="A330" s="147" t="s">
        <v>555</v>
      </c>
      <c r="B330" s="137"/>
      <c r="C330" s="183" t="s">
        <v>556</v>
      </c>
      <c r="D330" s="183"/>
      <c r="E330" s="183"/>
      <c r="F330" s="183"/>
      <c r="G330" s="183"/>
      <c r="H330" s="183"/>
      <c r="I330" s="183"/>
      <c r="J330" s="183"/>
      <c r="K330" s="183"/>
      <c r="L330" s="183"/>
    </row>
    <row r="331" spans="1:12">
      <c r="A331" s="147" t="s">
        <v>557</v>
      </c>
      <c r="B331" s="137"/>
      <c r="C331" s="183" t="s">
        <v>558</v>
      </c>
      <c r="D331" s="183"/>
      <c r="E331" s="183"/>
      <c r="F331" s="183"/>
      <c r="G331" s="183"/>
      <c r="H331" s="183"/>
      <c r="I331" s="183"/>
      <c r="J331" s="183"/>
      <c r="K331" s="183"/>
      <c r="L331" s="183"/>
    </row>
    <row r="332" spans="1:12">
      <c r="A332" s="147"/>
      <c r="B332" s="137"/>
      <c r="C332" s="183" t="s">
        <v>559</v>
      </c>
      <c r="D332" s="183"/>
      <c r="E332" s="183"/>
      <c r="F332" s="183"/>
      <c r="G332" s="183"/>
      <c r="H332" s="183"/>
      <c r="I332" s="183"/>
      <c r="J332" s="183"/>
      <c r="K332" s="183"/>
      <c r="L332" s="183"/>
    </row>
    <row r="333" spans="1:12">
      <c r="A333" s="147"/>
      <c r="B333" s="137"/>
      <c r="C333" s="183" t="s">
        <v>560</v>
      </c>
      <c r="D333" s="183"/>
      <c r="E333" s="183"/>
      <c r="F333" s="183"/>
      <c r="G333" s="183"/>
      <c r="H333" s="183"/>
      <c r="I333" s="183"/>
      <c r="J333" s="183"/>
      <c r="K333" s="183"/>
      <c r="L333" s="183"/>
    </row>
    <row r="334" spans="1:12">
      <c r="A334" s="147" t="s">
        <v>561</v>
      </c>
      <c r="B334" s="137"/>
      <c r="C334" s="183" t="s">
        <v>562</v>
      </c>
      <c r="D334" s="183"/>
      <c r="E334" s="183"/>
      <c r="F334" s="183"/>
      <c r="G334" s="183"/>
      <c r="H334" s="183"/>
      <c r="I334" s="183"/>
      <c r="J334" s="183"/>
      <c r="K334" s="183"/>
      <c r="L334" s="183"/>
    </row>
    <row r="335" spans="1:12">
      <c r="A335" s="147" t="s">
        <v>563</v>
      </c>
      <c r="B335" s="137"/>
      <c r="C335" s="183" t="s">
        <v>564</v>
      </c>
      <c r="D335" s="183"/>
      <c r="E335" s="183"/>
      <c r="F335" s="183"/>
      <c r="G335" s="183"/>
      <c r="H335" s="183"/>
      <c r="I335" s="183"/>
      <c r="J335" s="183"/>
      <c r="K335" s="183"/>
      <c r="L335" s="183"/>
    </row>
    <row r="336" spans="1:12">
      <c r="A336" s="147"/>
      <c r="B336" s="137"/>
      <c r="C336" s="183" t="s">
        <v>565</v>
      </c>
      <c r="D336" s="183"/>
      <c r="E336" s="183"/>
      <c r="F336" s="183"/>
      <c r="G336" s="183"/>
      <c r="H336" s="183"/>
      <c r="I336" s="183"/>
      <c r="J336" s="183"/>
      <c r="K336" s="183"/>
      <c r="L336" s="183"/>
    </row>
    <row r="337" spans="1:14">
      <c r="A337" s="147" t="s">
        <v>566</v>
      </c>
      <c r="B337" s="137"/>
      <c r="C337" s="183" t="s">
        <v>567</v>
      </c>
      <c r="D337" s="183"/>
      <c r="E337" s="183"/>
      <c r="F337" s="183"/>
      <c r="G337" s="183"/>
      <c r="H337" s="183"/>
      <c r="I337" s="183"/>
      <c r="J337" s="183"/>
      <c r="K337" s="183"/>
      <c r="L337" s="183"/>
    </row>
    <row r="338" spans="1:14">
      <c r="A338" s="147"/>
      <c r="B338" s="137"/>
      <c r="C338" s="199" t="s">
        <v>568</v>
      </c>
      <c r="D338" s="183"/>
      <c r="E338" s="183"/>
      <c r="F338" s="183"/>
      <c r="G338" s="183"/>
      <c r="H338" s="183"/>
      <c r="I338" s="183"/>
      <c r="J338" s="183"/>
      <c r="K338" s="183"/>
      <c r="L338" s="183"/>
    </row>
    <row r="339" spans="1:14">
      <c r="A339" s="147"/>
      <c r="B339" s="137"/>
      <c r="C339" s="183" t="s">
        <v>569</v>
      </c>
      <c r="D339" s="183"/>
      <c r="E339" s="183"/>
      <c r="F339" s="183"/>
      <c r="G339" s="183"/>
      <c r="H339" s="183"/>
      <c r="I339" s="183"/>
      <c r="J339" s="183"/>
      <c r="K339" s="183"/>
      <c r="L339" s="183"/>
    </row>
    <row r="340" spans="1:14">
      <c r="A340" s="147" t="s">
        <v>570</v>
      </c>
      <c r="B340" s="137"/>
      <c r="C340" s="183" t="s">
        <v>571</v>
      </c>
      <c r="D340" s="183"/>
      <c r="E340" s="183"/>
      <c r="F340" s="183"/>
      <c r="G340" s="183"/>
      <c r="H340" s="183"/>
      <c r="I340" s="183"/>
      <c r="J340" s="183"/>
      <c r="K340" s="183"/>
      <c r="L340" s="183"/>
    </row>
    <row r="341" spans="1:14">
      <c r="A341" s="147"/>
      <c r="B341" s="137"/>
      <c r="C341" s="183" t="s">
        <v>572</v>
      </c>
      <c r="D341" s="183"/>
      <c r="E341" s="183"/>
      <c r="F341" s="183"/>
      <c r="G341" s="183"/>
      <c r="H341" s="183"/>
      <c r="I341" s="183"/>
      <c r="J341" s="183"/>
      <c r="K341" s="183"/>
      <c r="L341" s="183"/>
    </row>
    <row r="342" spans="1:14">
      <c r="A342" s="147"/>
      <c r="B342" s="137"/>
      <c r="C342" s="183" t="s">
        <v>573</v>
      </c>
      <c r="D342" s="183"/>
      <c r="E342" s="183"/>
      <c r="F342" s="183"/>
      <c r="G342" s="183"/>
      <c r="H342" s="183"/>
      <c r="I342" s="183"/>
      <c r="J342" s="183"/>
      <c r="K342" s="183"/>
      <c r="L342" s="183"/>
    </row>
    <row r="343" spans="1:14">
      <c r="A343" s="147" t="s">
        <v>574</v>
      </c>
      <c r="B343" s="137"/>
      <c r="C343" s="183" t="s">
        <v>245</v>
      </c>
      <c r="D343" s="183"/>
      <c r="E343" s="183"/>
      <c r="F343" s="183"/>
      <c r="G343" s="183"/>
      <c r="H343" s="183"/>
      <c r="I343" s="183"/>
      <c r="J343" s="183"/>
      <c r="K343" s="183"/>
      <c r="L343" s="183"/>
    </row>
    <row r="344" spans="1:14">
      <c r="A344" s="147"/>
      <c r="B344" s="137"/>
      <c r="C344" s="183" t="s">
        <v>246</v>
      </c>
      <c r="D344" s="183"/>
      <c r="E344" s="183"/>
      <c r="F344" s="183"/>
      <c r="G344" s="183"/>
      <c r="H344" s="183"/>
      <c r="I344" s="183"/>
      <c r="J344" s="183"/>
      <c r="K344" s="183"/>
      <c r="L344" s="183"/>
    </row>
    <row r="345" spans="1:14">
      <c r="A345" s="147"/>
      <c r="B345" s="137"/>
      <c r="C345" s="183" t="s">
        <v>247</v>
      </c>
      <c r="D345" s="183"/>
      <c r="E345" s="183"/>
      <c r="F345" s="183"/>
      <c r="G345" s="183"/>
      <c r="H345" s="183"/>
      <c r="I345" s="183"/>
      <c r="J345" s="183"/>
      <c r="K345" s="183"/>
      <c r="L345" s="183"/>
    </row>
    <row r="346" spans="1:14">
      <c r="A346" s="147"/>
      <c r="B346" s="137"/>
      <c r="C346" s="183" t="s">
        <v>248</v>
      </c>
      <c r="D346" s="183"/>
      <c r="E346" s="183"/>
      <c r="F346" s="183"/>
      <c r="G346" s="183"/>
      <c r="H346" s="183"/>
      <c r="I346" s="183"/>
      <c r="J346" s="183"/>
      <c r="K346" s="183"/>
      <c r="L346" s="183"/>
    </row>
    <row r="347" spans="1:14">
      <c r="A347" s="147"/>
      <c r="B347" s="137"/>
      <c r="C347" s="183" t="s">
        <v>249</v>
      </c>
      <c r="D347" s="183"/>
      <c r="E347" s="183"/>
      <c r="F347" s="183"/>
      <c r="G347" s="183"/>
      <c r="H347" s="183"/>
      <c r="I347" s="183"/>
      <c r="J347" s="183"/>
      <c r="K347" s="183"/>
      <c r="L347" s="183"/>
    </row>
    <row r="348" spans="1:14">
      <c r="A348" s="147"/>
      <c r="B348" s="137"/>
      <c r="C348" s="183" t="s">
        <v>250</v>
      </c>
      <c r="D348" s="183"/>
      <c r="E348" s="183"/>
      <c r="F348" s="183"/>
      <c r="G348" s="183"/>
      <c r="H348" s="183"/>
      <c r="I348" s="183"/>
      <c r="J348" s="183"/>
      <c r="K348" s="183"/>
      <c r="L348" s="183"/>
    </row>
    <row r="349" spans="1:14">
      <c r="A349" s="147" t="s">
        <v>127</v>
      </c>
      <c r="B349" s="137"/>
      <c r="C349" s="183" t="s">
        <v>575</v>
      </c>
      <c r="D349" s="183" t="s">
        <v>252</v>
      </c>
      <c r="E349" s="331">
        <v>0.35</v>
      </c>
      <c r="F349" s="183"/>
      <c r="G349" s="183"/>
      <c r="H349" s="183"/>
      <c r="I349" s="183"/>
      <c r="J349" s="183"/>
      <c r="K349" s="183"/>
      <c r="L349" s="183"/>
    </row>
    <row r="350" spans="1:14">
      <c r="A350" s="147"/>
      <c r="B350" s="137"/>
      <c r="C350" s="183"/>
      <c r="D350" s="183" t="s">
        <v>253</v>
      </c>
      <c r="E350" s="331">
        <v>4.6399999999999997E-2</v>
      </c>
      <c r="F350" s="183" t="s">
        <v>254</v>
      </c>
      <c r="G350" s="183"/>
      <c r="H350" s="183"/>
      <c r="I350" s="183"/>
      <c r="J350" s="183"/>
      <c r="K350" s="183"/>
      <c r="L350" s="183"/>
      <c r="N350" s="332"/>
    </row>
    <row r="351" spans="1:14">
      <c r="A351" s="147"/>
      <c r="B351" s="137"/>
      <c r="C351" s="183"/>
      <c r="D351" s="183" t="s">
        <v>255</v>
      </c>
      <c r="E351" s="331">
        <v>0</v>
      </c>
      <c r="F351" s="183" t="s">
        <v>256</v>
      </c>
      <c r="G351" s="183"/>
      <c r="H351" s="183"/>
      <c r="I351" s="183"/>
      <c r="J351" s="183"/>
      <c r="K351" s="183"/>
      <c r="L351" s="183"/>
    </row>
    <row r="352" spans="1:14">
      <c r="A352" s="147" t="s">
        <v>576</v>
      </c>
      <c r="B352" s="137"/>
      <c r="C352" s="183" t="s">
        <v>577</v>
      </c>
      <c r="D352" s="183"/>
      <c r="E352" s="183"/>
      <c r="F352" s="183"/>
      <c r="G352" s="183"/>
      <c r="H352" s="183"/>
      <c r="I352" s="183"/>
      <c r="J352" s="333"/>
      <c r="K352" s="333"/>
      <c r="L352" s="183"/>
    </row>
    <row r="353" spans="1:12">
      <c r="A353" s="147" t="s">
        <v>578</v>
      </c>
      <c r="B353" s="137"/>
      <c r="C353" s="183" t="s">
        <v>579</v>
      </c>
      <c r="D353" s="183"/>
      <c r="E353" s="183"/>
      <c r="F353" s="183"/>
      <c r="G353" s="183"/>
      <c r="H353" s="183"/>
      <c r="I353" s="183"/>
      <c r="J353" s="183"/>
      <c r="K353" s="183"/>
      <c r="L353" s="183"/>
    </row>
    <row r="354" spans="1:12">
      <c r="A354" s="147"/>
      <c r="B354" s="137"/>
      <c r="C354" s="183" t="s">
        <v>580</v>
      </c>
      <c r="D354" s="183"/>
      <c r="E354" s="183"/>
      <c r="F354" s="183"/>
      <c r="G354" s="183"/>
      <c r="H354" s="183"/>
      <c r="I354" s="183"/>
      <c r="J354" s="183"/>
      <c r="K354" s="183"/>
      <c r="L354" s="183"/>
    </row>
    <row r="355" spans="1:12">
      <c r="A355" s="147" t="s">
        <v>581</v>
      </c>
      <c r="B355" s="137"/>
      <c r="C355" s="183" t="s">
        <v>582</v>
      </c>
      <c r="D355" s="183"/>
      <c r="E355" s="183"/>
      <c r="F355" s="183"/>
      <c r="G355" s="183"/>
      <c r="H355" s="183"/>
      <c r="I355" s="183"/>
      <c r="J355" s="183"/>
      <c r="K355" s="183"/>
      <c r="L355" s="183"/>
    </row>
    <row r="356" spans="1:12">
      <c r="A356" s="147"/>
      <c r="B356" s="137"/>
      <c r="C356" s="183" t="s">
        <v>583</v>
      </c>
      <c r="D356" s="183"/>
      <c r="E356" s="183"/>
      <c r="F356" s="183"/>
      <c r="G356" s="183"/>
      <c r="H356" s="183"/>
      <c r="I356" s="183"/>
      <c r="J356" s="183"/>
      <c r="K356" s="183"/>
      <c r="L356" s="183"/>
    </row>
    <row r="357" spans="1:12">
      <c r="A357" s="147"/>
      <c r="B357" s="137"/>
      <c r="C357" s="183" t="s">
        <v>584</v>
      </c>
      <c r="D357" s="183"/>
      <c r="E357" s="183"/>
      <c r="F357" s="183"/>
      <c r="G357" s="183"/>
      <c r="H357" s="183"/>
      <c r="I357" s="183"/>
      <c r="J357" s="183"/>
      <c r="K357" s="183"/>
      <c r="L357" s="183"/>
    </row>
    <row r="358" spans="1:12">
      <c r="A358" s="147" t="s">
        <v>585</v>
      </c>
      <c r="B358" s="137"/>
      <c r="C358" s="183" t="s">
        <v>586</v>
      </c>
      <c r="D358" s="183"/>
      <c r="E358" s="183"/>
      <c r="F358" s="183"/>
      <c r="G358" s="183"/>
      <c r="H358" s="183"/>
      <c r="I358" s="183"/>
      <c r="J358" s="183"/>
      <c r="K358" s="183"/>
      <c r="L358" s="183"/>
    </row>
    <row r="359" spans="1:12">
      <c r="A359" s="147" t="s">
        <v>587</v>
      </c>
      <c r="B359" s="137"/>
      <c r="C359" s="183" t="s">
        <v>588</v>
      </c>
      <c r="D359" s="183"/>
      <c r="E359" s="183"/>
      <c r="F359" s="183"/>
      <c r="G359" s="183"/>
      <c r="H359" s="183"/>
      <c r="I359" s="183"/>
      <c r="J359" s="183"/>
      <c r="K359" s="183"/>
      <c r="L359" s="183"/>
    </row>
    <row r="360" spans="1:12">
      <c r="A360" s="147"/>
      <c r="B360" s="137"/>
      <c r="C360" s="183" t="s">
        <v>589</v>
      </c>
      <c r="D360" s="183"/>
      <c r="E360" s="183"/>
      <c r="F360" s="183"/>
      <c r="G360" s="183"/>
      <c r="H360" s="183"/>
      <c r="I360" s="183"/>
      <c r="J360" s="183"/>
      <c r="K360" s="183"/>
      <c r="L360" s="183"/>
    </row>
    <row r="361" spans="1:12">
      <c r="A361" s="147"/>
      <c r="B361" s="137"/>
      <c r="C361" s="183" t="s">
        <v>590</v>
      </c>
      <c r="D361" s="183"/>
      <c r="E361" s="183"/>
      <c r="F361" s="183"/>
      <c r="G361" s="183"/>
      <c r="H361" s="183"/>
      <c r="I361" s="183"/>
      <c r="J361" s="183"/>
      <c r="K361" s="183"/>
      <c r="L361" s="183"/>
    </row>
    <row r="362" spans="1:12">
      <c r="A362" s="147" t="s">
        <v>591</v>
      </c>
      <c r="B362" s="137"/>
      <c r="C362" s="183" t="s">
        <v>592</v>
      </c>
      <c r="D362" s="183"/>
      <c r="E362" s="183"/>
      <c r="F362" s="183"/>
      <c r="G362" s="183"/>
      <c r="H362" s="183"/>
      <c r="I362" s="183"/>
      <c r="J362" s="183"/>
      <c r="K362" s="183"/>
      <c r="L362" s="183"/>
    </row>
    <row r="363" spans="1:12">
      <c r="A363" s="147"/>
      <c r="B363" s="137"/>
      <c r="C363" s="183" t="s">
        <v>593</v>
      </c>
      <c r="D363" s="183"/>
      <c r="E363" s="183"/>
      <c r="F363" s="183"/>
      <c r="G363" s="183"/>
      <c r="H363" s="183"/>
      <c r="I363" s="183"/>
      <c r="J363" s="183"/>
      <c r="K363" s="183"/>
      <c r="L363" s="183"/>
    </row>
    <row r="364" spans="1:12">
      <c r="A364" s="147" t="s">
        <v>594</v>
      </c>
      <c r="B364" s="137"/>
      <c r="C364" s="183" t="s">
        <v>595</v>
      </c>
      <c r="D364" s="183"/>
      <c r="E364" s="183"/>
      <c r="F364" s="183"/>
      <c r="G364" s="183"/>
      <c r="H364" s="183"/>
      <c r="I364" s="183"/>
      <c r="J364" s="183"/>
      <c r="K364" s="183"/>
      <c r="L364" s="183"/>
    </row>
    <row r="365" spans="1:12">
      <c r="A365" s="147" t="s">
        <v>596</v>
      </c>
      <c r="B365" s="137"/>
      <c r="C365" s="183" t="s">
        <v>597</v>
      </c>
      <c r="D365" s="183"/>
      <c r="E365" s="183"/>
      <c r="F365" s="183"/>
      <c r="G365" s="183"/>
      <c r="H365" s="183"/>
      <c r="I365" s="183"/>
      <c r="J365" s="183"/>
      <c r="K365" s="183"/>
      <c r="L365" s="183"/>
    </row>
    <row r="366" spans="1:12">
      <c r="B366" s="137"/>
      <c r="C366" s="183" t="s">
        <v>598</v>
      </c>
      <c r="D366" s="183"/>
      <c r="E366" s="183"/>
      <c r="F366" s="183"/>
      <c r="G366" s="183"/>
      <c r="H366" s="183"/>
      <c r="I366" s="183"/>
      <c r="J366" s="183"/>
      <c r="K366" s="183"/>
      <c r="L366" s="183"/>
    </row>
    <row r="367" spans="1:12">
      <c r="C367" s="143" t="s">
        <v>599</v>
      </c>
      <c r="D367" s="143"/>
      <c r="E367" s="143"/>
      <c r="F367" s="143"/>
      <c r="G367" s="143"/>
      <c r="H367" s="143"/>
      <c r="I367" s="143"/>
      <c r="J367" s="143"/>
      <c r="K367" s="143"/>
      <c r="L367" s="143"/>
    </row>
    <row r="368" spans="1:12">
      <c r="A368" s="191" t="s">
        <v>600</v>
      </c>
      <c r="C368" s="143" t="s">
        <v>601</v>
      </c>
      <c r="D368" s="143"/>
      <c r="E368" s="143"/>
      <c r="F368" s="143"/>
      <c r="G368" s="143"/>
      <c r="H368" s="143"/>
      <c r="I368" s="143"/>
      <c r="J368" s="143"/>
      <c r="K368" s="143"/>
      <c r="L368" s="143"/>
    </row>
    <row r="369" spans="1:12">
      <c r="C369" s="143" t="s">
        <v>602</v>
      </c>
      <c r="D369" s="334"/>
      <c r="E369" s="143"/>
      <c r="F369" s="143"/>
      <c r="G369" s="143"/>
      <c r="H369" s="143"/>
      <c r="I369" s="143"/>
      <c r="J369" s="143"/>
      <c r="K369" s="143"/>
      <c r="L369" s="143"/>
    </row>
    <row r="370" spans="1:12">
      <c r="C370" s="143" t="s">
        <v>603</v>
      </c>
      <c r="D370" s="143"/>
      <c r="E370" s="143"/>
      <c r="F370" s="143"/>
      <c r="G370" s="143"/>
      <c r="H370" s="143"/>
      <c r="I370" s="143"/>
      <c r="J370" s="143"/>
      <c r="K370" s="143"/>
      <c r="L370" s="143"/>
    </row>
    <row r="371" spans="1:12">
      <c r="C371" s="143" t="s">
        <v>604</v>
      </c>
      <c r="D371" s="143"/>
      <c r="E371" s="334"/>
      <c r="F371" s="143"/>
      <c r="G371" s="143"/>
      <c r="H371" s="143"/>
      <c r="I371" s="143"/>
      <c r="J371" s="143"/>
      <c r="K371" s="143"/>
      <c r="L371" s="143"/>
    </row>
    <row r="372" spans="1:12">
      <c r="A372" s="191" t="s">
        <v>605</v>
      </c>
      <c r="C372" s="143" t="s">
        <v>606</v>
      </c>
      <c r="D372" s="141"/>
      <c r="E372" s="141"/>
      <c r="F372" s="141"/>
      <c r="G372" s="141"/>
      <c r="H372" s="141"/>
      <c r="I372" s="141"/>
      <c r="J372" s="143"/>
      <c r="K372" s="143"/>
      <c r="L372" s="143"/>
    </row>
    <row r="373" spans="1:12" s="199" customFormat="1">
      <c r="A373" s="335" t="s">
        <v>607</v>
      </c>
      <c r="C373" s="143" t="s">
        <v>608</v>
      </c>
      <c r="D373" s="143"/>
      <c r="E373" s="143"/>
      <c r="F373" s="143"/>
      <c r="G373" s="143"/>
      <c r="H373" s="143"/>
      <c r="I373" s="143"/>
      <c r="J373" s="143"/>
      <c r="K373" s="143"/>
      <c r="L373" s="143"/>
    </row>
    <row r="374" spans="1:12">
      <c r="A374" s="191" t="s">
        <v>609</v>
      </c>
      <c r="C374" s="143" t="s">
        <v>610</v>
      </c>
      <c r="D374" s="143"/>
      <c r="E374" s="143"/>
      <c r="F374" s="143"/>
      <c r="G374" s="143"/>
      <c r="H374" s="143"/>
      <c r="I374" s="143"/>
      <c r="J374" s="143"/>
      <c r="K374" s="143"/>
      <c r="L374" s="143"/>
    </row>
    <row r="375" spans="1:12">
      <c r="A375" s="191" t="s">
        <v>611</v>
      </c>
      <c r="C375" s="143" t="s">
        <v>612</v>
      </c>
      <c r="D375" s="143"/>
      <c r="E375" s="143"/>
      <c r="F375" s="143"/>
      <c r="G375" s="143"/>
      <c r="H375" s="143"/>
      <c r="I375" s="143"/>
      <c r="J375" s="143"/>
      <c r="K375" s="143"/>
      <c r="L375" s="143"/>
    </row>
    <row r="376" spans="1:12">
      <c r="A376" s="191"/>
      <c r="C376" s="143" t="s">
        <v>613</v>
      </c>
      <c r="D376" s="143"/>
      <c r="E376" s="143"/>
      <c r="F376" s="143"/>
      <c r="G376" s="143"/>
      <c r="H376" s="143"/>
      <c r="I376" s="143"/>
      <c r="J376" s="143"/>
      <c r="K376" s="143"/>
      <c r="L376" s="143"/>
    </row>
    <row r="377" spans="1:12">
      <c r="A377" s="191" t="s">
        <v>614</v>
      </c>
      <c r="C377" s="358" t="s">
        <v>615</v>
      </c>
      <c r="D377" s="358"/>
      <c r="E377" s="358"/>
      <c r="F377" s="358"/>
      <c r="G377" s="358"/>
      <c r="H377" s="358"/>
      <c r="I377" s="358"/>
      <c r="J377" s="358"/>
      <c r="K377" s="358"/>
      <c r="L377" s="358"/>
    </row>
    <row r="378" spans="1:12">
      <c r="A378" s="191" t="s">
        <v>616</v>
      </c>
      <c r="C378" s="358" t="s">
        <v>617</v>
      </c>
      <c r="D378" s="358"/>
      <c r="E378" s="358"/>
      <c r="F378" s="358"/>
      <c r="G378" s="358"/>
      <c r="H378" s="358"/>
      <c r="I378" s="358"/>
      <c r="J378" s="358"/>
      <c r="K378" s="358"/>
      <c r="L378" s="358"/>
    </row>
    <row r="379" spans="1:12">
      <c r="A379" s="191"/>
      <c r="C379" s="143" t="s">
        <v>618</v>
      </c>
      <c r="D379" s="141"/>
      <c r="E379" s="141"/>
      <c r="F379" s="141"/>
      <c r="G379" s="141"/>
      <c r="H379" s="141"/>
      <c r="I379" s="141"/>
      <c r="J379" s="143"/>
      <c r="K379" s="143"/>
      <c r="L379" s="143"/>
    </row>
    <row r="380" spans="1:12">
      <c r="A380" s="191" t="s">
        <v>619</v>
      </c>
      <c r="C380" s="167" t="s">
        <v>620</v>
      </c>
      <c r="D380" s="141"/>
      <c r="E380" s="141"/>
      <c r="F380" s="141"/>
      <c r="G380" s="141"/>
      <c r="H380" s="141"/>
      <c r="I380" s="141"/>
      <c r="J380" s="143"/>
      <c r="K380" s="143"/>
      <c r="L380" s="143"/>
    </row>
    <row r="381" spans="1:12">
      <c r="A381" s="191" t="s">
        <v>621</v>
      </c>
      <c r="C381" s="336" t="s">
        <v>622</v>
      </c>
      <c r="D381" s="141"/>
      <c r="E381" s="141"/>
      <c r="F381" s="141"/>
      <c r="G381" s="141"/>
      <c r="H381" s="141"/>
      <c r="I381" s="141"/>
      <c r="J381" s="143"/>
      <c r="K381" s="143"/>
      <c r="L381" s="143"/>
    </row>
    <row r="382" spans="1:12">
      <c r="A382" s="191" t="s">
        <v>623</v>
      </c>
      <c r="C382" s="167" t="s">
        <v>624</v>
      </c>
      <c r="D382" s="141"/>
      <c r="E382" s="141"/>
      <c r="F382" s="141"/>
      <c r="G382" s="141"/>
      <c r="H382" s="141"/>
      <c r="I382" s="141"/>
      <c r="J382" s="143"/>
      <c r="K382" s="143"/>
      <c r="L382" s="143"/>
    </row>
    <row r="383" spans="1:12">
      <c r="A383" s="337"/>
      <c r="B383" s="166"/>
      <c r="C383" s="167" t="s">
        <v>625</v>
      </c>
      <c r="D383" s="167"/>
      <c r="E383" s="167"/>
      <c r="F383" s="167"/>
      <c r="G383" s="167"/>
      <c r="H383" s="167"/>
      <c r="I383" s="167"/>
      <c r="J383" s="167"/>
      <c r="K383" s="167"/>
      <c r="L383" s="167"/>
    </row>
    <row r="384" spans="1:12">
      <c r="A384" s="337"/>
      <c r="B384" s="166"/>
      <c r="C384" s="167" t="s">
        <v>626</v>
      </c>
      <c r="D384" s="167"/>
      <c r="E384" s="167"/>
      <c r="F384" s="167"/>
      <c r="G384" s="167"/>
      <c r="H384" s="336"/>
      <c r="I384" s="241"/>
      <c r="J384" s="167"/>
      <c r="K384" s="167"/>
      <c r="L384" s="167"/>
    </row>
    <row r="385" spans="1:12">
      <c r="A385" s="338" t="s">
        <v>627</v>
      </c>
      <c r="B385" s="166"/>
      <c r="C385" s="167" t="s">
        <v>628</v>
      </c>
      <c r="D385" s="167"/>
      <c r="E385" s="167"/>
      <c r="F385" s="167"/>
      <c r="G385" s="167"/>
      <c r="H385" s="336"/>
      <c r="I385" s="336"/>
      <c r="J385" s="167"/>
      <c r="K385" s="167"/>
      <c r="L385" s="167"/>
    </row>
    <row r="386" spans="1:12">
      <c r="A386" s="339" t="s">
        <v>629</v>
      </c>
      <c r="B386" s="166"/>
      <c r="C386" s="167" t="s">
        <v>630</v>
      </c>
      <c r="D386" s="167"/>
      <c r="E386" s="167"/>
      <c r="F386" s="167"/>
      <c r="G386" s="167"/>
      <c r="H386" s="336"/>
      <c r="I386" s="336"/>
      <c r="J386" s="167"/>
      <c r="K386" s="167"/>
      <c r="L386" s="167"/>
    </row>
    <row r="387" spans="1:12">
      <c r="A387" s="339" t="s">
        <v>631</v>
      </c>
      <c r="B387" s="241"/>
      <c r="C387" s="167" t="s">
        <v>632</v>
      </c>
      <c r="D387" s="166"/>
      <c r="E387" s="166"/>
      <c r="F387" s="167"/>
      <c r="G387" s="167"/>
      <c r="H387" s="167"/>
      <c r="I387" s="336"/>
      <c r="J387" s="167"/>
      <c r="K387" s="167"/>
      <c r="L387" s="167"/>
    </row>
    <row r="388" spans="1:12">
      <c r="A388" s="339"/>
      <c r="B388" s="241"/>
      <c r="C388" s="340" t="s">
        <v>221</v>
      </c>
      <c r="D388" s="167" t="s">
        <v>633</v>
      </c>
      <c r="E388" s="341">
        <v>505945</v>
      </c>
      <c r="F388" s="167"/>
      <c r="G388" s="167"/>
      <c r="H388" s="167"/>
      <c r="I388" s="336"/>
      <c r="J388" s="167"/>
      <c r="K388" s="167"/>
      <c r="L388" s="167"/>
    </row>
    <row r="389" spans="1:12">
      <c r="A389" s="339"/>
      <c r="B389" s="241"/>
      <c r="C389" s="340" t="s">
        <v>222</v>
      </c>
      <c r="D389" s="167" t="s">
        <v>633</v>
      </c>
      <c r="E389" s="342">
        <v>514133</v>
      </c>
      <c r="F389" s="166"/>
      <c r="G389" s="167"/>
      <c r="H389" s="167"/>
      <c r="I389" s="336"/>
      <c r="J389" s="167"/>
      <c r="K389" s="167"/>
      <c r="L389" s="167"/>
    </row>
    <row r="390" spans="1:12">
      <c r="A390" s="339"/>
      <c r="B390" s="241"/>
      <c r="C390" s="343" t="s">
        <v>634</v>
      </c>
      <c r="D390" s="167"/>
      <c r="E390" s="341">
        <f>+E389-E388</f>
        <v>8188</v>
      </c>
      <c r="F390" s="166"/>
      <c r="G390" s="167"/>
      <c r="H390" s="167"/>
      <c r="I390" s="336"/>
      <c r="J390" s="167"/>
      <c r="K390" s="167"/>
      <c r="L390" s="167"/>
    </row>
    <row r="391" spans="1:12">
      <c r="A391" s="339"/>
      <c r="B391" s="241"/>
      <c r="C391" s="340" t="s">
        <v>224</v>
      </c>
      <c r="D391" s="167" t="s">
        <v>635</v>
      </c>
      <c r="E391" s="344">
        <v>47.496000000000002</v>
      </c>
      <c r="F391" s="166"/>
      <c r="G391" s="167"/>
      <c r="H391" s="167"/>
      <c r="I391" s="336"/>
      <c r="J391" s="167"/>
      <c r="K391" s="167"/>
      <c r="L391" s="167"/>
    </row>
    <row r="392" spans="1:12">
      <c r="A392" s="339"/>
      <c r="B392" s="241"/>
      <c r="C392" s="340" t="s">
        <v>636</v>
      </c>
      <c r="D392" s="167"/>
      <c r="E392" s="345">
        <f>+E390*E391</f>
        <v>388897.24800000002</v>
      </c>
      <c r="F392" s="166"/>
      <c r="G392" s="167"/>
      <c r="H392" s="167"/>
      <c r="I392" s="336"/>
      <c r="J392" s="167"/>
      <c r="K392" s="167"/>
      <c r="L392" s="167"/>
    </row>
    <row r="393" spans="1:12">
      <c r="A393" s="339"/>
      <c r="B393" s="241"/>
      <c r="F393" s="166"/>
      <c r="G393" s="167"/>
      <c r="H393" s="167"/>
      <c r="I393" s="336"/>
      <c r="J393" s="167"/>
      <c r="K393" s="167"/>
      <c r="L393" s="167"/>
    </row>
    <row r="394" spans="1:12">
      <c r="A394" s="339"/>
      <c r="B394" s="241"/>
      <c r="F394" s="167"/>
      <c r="G394" s="167"/>
      <c r="H394" s="167"/>
      <c r="I394" s="336"/>
      <c r="J394" s="167"/>
      <c r="K394" s="167"/>
      <c r="L394" s="167"/>
    </row>
    <row r="395" spans="1:12">
      <c r="A395" s="338"/>
      <c r="B395" s="338"/>
      <c r="L395" s="134"/>
    </row>
    <row r="396" spans="1:12">
      <c r="B396" s="338"/>
      <c r="L396" s="134"/>
    </row>
    <row r="397" spans="1:12">
      <c r="B397" s="339"/>
      <c r="D397" s="336"/>
      <c r="E397" s="336"/>
      <c r="F397" s="336"/>
      <c r="G397" s="336"/>
      <c r="H397" s="336"/>
      <c r="I397" s="336"/>
      <c r="J397" s="167"/>
      <c r="K397" s="336"/>
      <c r="L397" s="167"/>
    </row>
    <row r="398" spans="1:12">
      <c r="B398" s="241"/>
      <c r="D398" s="336"/>
      <c r="E398" s="336"/>
      <c r="F398" s="336"/>
      <c r="G398" s="336"/>
      <c r="H398" s="336"/>
      <c r="I398" s="336"/>
      <c r="J398" s="336"/>
      <c r="K398" s="241"/>
      <c r="L398" s="166"/>
    </row>
    <row r="399" spans="1:12">
      <c r="A399" s="135"/>
      <c r="C399" s="154"/>
      <c r="D399" s="146"/>
      <c r="E399" s="217"/>
      <c r="F399" s="146"/>
      <c r="G399" s="146"/>
      <c r="H399" s="219"/>
      <c r="I399" s="146"/>
      <c r="J399" s="217"/>
      <c r="K399" s="146"/>
      <c r="L399" s="232"/>
    </row>
    <row r="400" spans="1:12">
      <c r="C400" s="141"/>
      <c r="D400" s="141"/>
      <c r="E400" s="141"/>
      <c r="F400" s="141"/>
      <c r="G400" s="141"/>
      <c r="H400" s="141"/>
      <c r="I400" s="141"/>
      <c r="J400" s="141"/>
      <c r="K400" s="141"/>
      <c r="L400" s="143"/>
    </row>
    <row r="401" spans="3:12">
      <c r="C401" s="141"/>
      <c r="D401" s="141"/>
      <c r="E401" s="141"/>
      <c r="F401" s="141"/>
      <c r="G401" s="141"/>
      <c r="H401" s="141"/>
      <c r="I401" s="141"/>
      <c r="J401" s="141"/>
      <c r="K401" s="141"/>
      <c r="L401" s="143"/>
    </row>
    <row r="402" spans="3:12">
      <c r="C402" s="141"/>
      <c r="D402" s="141"/>
      <c r="E402" s="141"/>
      <c r="F402" s="141"/>
      <c r="G402" s="141"/>
      <c r="H402" s="141"/>
      <c r="I402" s="141"/>
      <c r="J402" s="141"/>
      <c r="K402" s="141"/>
      <c r="L402" s="143"/>
    </row>
    <row r="403" spans="3:12">
      <c r="C403" s="199"/>
    </row>
  </sheetData>
  <mergeCells count="6">
    <mergeCell ref="C378:L378"/>
    <mergeCell ref="O1:Q4"/>
    <mergeCell ref="C219:D219"/>
    <mergeCell ref="C223:D223"/>
    <mergeCell ref="N254:S254"/>
    <mergeCell ref="C377:L377"/>
  </mergeCells>
  <pageMargins left="0.49" right="0.17" top="0.5" bottom="0.43" header="0.3" footer="0.3"/>
  <pageSetup scale="53" orientation="portrait" r:id="rId1"/>
  <rowBreaks count="4" manualBreakCount="4">
    <brk id="78" max="16383" man="1"/>
    <brk id="158" max="11" man="1"/>
    <brk id="234" max="11" man="1"/>
    <brk id="313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workbookViewId="0"/>
  </sheetViews>
  <sheetFormatPr defaultRowHeight="12.75"/>
  <cols>
    <col min="1" max="1" width="43.7109375" style="6" customWidth="1"/>
    <col min="2" max="2" width="9.140625" style="6"/>
    <col min="3" max="3" width="13.42578125" style="6" bestFit="1" customWidth="1"/>
    <col min="4" max="16384" width="9.140625" style="6"/>
  </cols>
  <sheetData>
    <row r="1" spans="1:3">
      <c r="A1" s="8" t="s">
        <v>0</v>
      </c>
      <c r="B1" s="8"/>
      <c r="C1" s="8"/>
    </row>
    <row r="2" spans="1:3">
      <c r="A2" s="8" t="s">
        <v>2</v>
      </c>
      <c r="B2" s="8"/>
      <c r="C2" s="8"/>
    </row>
    <row r="3" spans="1:3">
      <c r="A3" s="8" t="s">
        <v>147</v>
      </c>
      <c r="B3" s="8"/>
      <c r="C3" s="8"/>
    </row>
    <row r="4" spans="1:3">
      <c r="A4" s="8" t="s">
        <v>180</v>
      </c>
      <c r="B4" s="8"/>
      <c r="C4" s="8"/>
    </row>
    <row r="5" spans="1:3">
      <c r="A5" s="8"/>
      <c r="B5" s="8"/>
      <c r="C5" s="8"/>
    </row>
    <row r="7" spans="1:3">
      <c r="A7" s="57" t="s">
        <v>262</v>
      </c>
      <c r="B7" s="49"/>
      <c r="C7" s="58"/>
    </row>
    <row r="9" spans="1:3">
      <c r="A9" s="56" t="s">
        <v>146</v>
      </c>
      <c r="B9" s="49"/>
      <c r="C9" s="49"/>
    </row>
    <row r="10" spans="1:3">
      <c r="A10" s="54" t="s">
        <v>136</v>
      </c>
      <c r="B10" s="49"/>
      <c r="C10" s="59">
        <v>908006.72</v>
      </c>
    </row>
    <row r="11" spans="1:3">
      <c r="C11" s="60"/>
    </row>
    <row r="12" spans="1:3">
      <c r="A12" s="54" t="s">
        <v>145</v>
      </c>
      <c r="B12" s="49"/>
      <c r="C12" s="61"/>
    </row>
    <row r="13" spans="1:3">
      <c r="A13" s="54" t="s">
        <v>136</v>
      </c>
      <c r="B13" s="49"/>
      <c r="C13" s="62">
        <v>2098579.13</v>
      </c>
    </row>
    <row r="14" spans="1:3">
      <c r="C14" s="60"/>
    </row>
    <row r="15" spans="1:3">
      <c r="A15" s="54" t="s">
        <v>144</v>
      </c>
      <c r="B15" s="49"/>
      <c r="C15" s="61"/>
    </row>
    <row r="16" spans="1:3">
      <c r="A16" s="54" t="s">
        <v>136</v>
      </c>
      <c r="B16" s="49"/>
      <c r="C16" s="62">
        <v>112666.21</v>
      </c>
    </row>
    <row r="17" spans="1:3">
      <c r="A17" s="49"/>
      <c r="B17" s="49"/>
      <c r="C17" s="52"/>
    </row>
    <row r="18" spans="1:3">
      <c r="A18" s="54" t="s">
        <v>143</v>
      </c>
      <c r="B18" s="49"/>
      <c r="C18" s="52"/>
    </row>
    <row r="19" spans="1:3">
      <c r="A19" s="54" t="s">
        <v>136</v>
      </c>
      <c r="B19" s="49"/>
      <c r="C19" s="62">
        <v>424864.59</v>
      </c>
    </row>
    <row r="20" spans="1:3">
      <c r="A20" s="49"/>
      <c r="B20" s="49"/>
      <c r="C20" s="52"/>
    </row>
    <row r="21" spans="1:3">
      <c r="A21" s="54" t="s">
        <v>142</v>
      </c>
      <c r="B21" s="49"/>
      <c r="C21" s="52"/>
    </row>
    <row r="22" spans="1:3">
      <c r="A22" s="54" t="s">
        <v>141</v>
      </c>
      <c r="B22" s="49"/>
      <c r="C22" s="52">
        <v>2122.09</v>
      </c>
    </row>
    <row r="23" spans="1:3">
      <c r="A23" s="54" t="s">
        <v>131</v>
      </c>
      <c r="B23" s="49"/>
      <c r="C23" s="52">
        <v>3284.29</v>
      </c>
    </row>
    <row r="24" spans="1:3">
      <c r="A24" s="54" t="s">
        <v>130</v>
      </c>
      <c r="B24" s="49"/>
      <c r="C24" s="63">
        <v>6874.08</v>
      </c>
    </row>
    <row r="25" spans="1:3" ht="13.5" thickBot="1">
      <c r="A25" s="54" t="s">
        <v>69</v>
      </c>
      <c r="B25" s="49"/>
      <c r="C25" s="55">
        <f>SUM(C22:C24)</f>
        <v>12280.46</v>
      </c>
    </row>
    <row r="26" spans="1:3" ht="13.5" thickTop="1">
      <c r="A26" s="49"/>
      <c r="B26" s="49"/>
      <c r="C26" s="61"/>
    </row>
    <row r="27" spans="1:3">
      <c r="A27" s="54" t="s">
        <v>140</v>
      </c>
      <c r="B27" s="49"/>
      <c r="C27" s="61"/>
    </row>
    <row r="28" spans="1:3">
      <c r="A28" s="54" t="s">
        <v>131</v>
      </c>
      <c r="B28" s="49"/>
      <c r="C28" s="52">
        <v>9512.84</v>
      </c>
    </row>
    <row r="29" spans="1:3">
      <c r="A29" s="54" t="s">
        <v>130</v>
      </c>
      <c r="B29" s="49"/>
      <c r="C29" s="52">
        <v>247</v>
      </c>
    </row>
    <row r="30" spans="1:3" ht="13.5" thickBot="1">
      <c r="A30" s="54" t="s">
        <v>69</v>
      </c>
      <c r="B30" s="49"/>
      <c r="C30" s="55">
        <f>SUM(C28:C29)</f>
        <v>9759.84</v>
      </c>
    </row>
    <row r="31" spans="1:3" ht="13.5" thickTop="1">
      <c r="A31" s="49"/>
      <c r="B31" s="49"/>
      <c r="C31" s="52"/>
    </row>
    <row r="32" spans="1:3">
      <c r="A32" s="54" t="s">
        <v>139</v>
      </c>
      <c r="B32" s="49"/>
      <c r="C32" s="52"/>
    </row>
    <row r="33" spans="1:3">
      <c r="A33" s="54" t="s">
        <v>129</v>
      </c>
      <c r="B33" s="49"/>
      <c r="C33" s="52">
        <v>138</v>
      </c>
    </row>
    <row r="34" spans="1:3">
      <c r="A34" s="54" t="s">
        <v>131</v>
      </c>
      <c r="B34" s="49"/>
      <c r="C34" s="52">
        <v>4258.8599999999997</v>
      </c>
    </row>
    <row r="35" spans="1:3">
      <c r="A35" s="54" t="s">
        <v>130</v>
      </c>
      <c r="B35" s="49"/>
      <c r="C35" s="52">
        <v>2591.44</v>
      </c>
    </row>
    <row r="36" spans="1:3" ht="13.5" thickBot="1">
      <c r="A36" s="54" t="s">
        <v>69</v>
      </c>
      <c r="B36" s="49"/>
      <c r="C36" s="55">
        <f>SUM(C33:C35)</f>
        <v>6988.2999999999993</v>
      </c>
    </row>
    <row r="37" spans="1:3" ht="13.5" thickTop="1">
      <c r="A37" s="49"/>
      <c r="B37" s="49"/>
      <c r="C37" s="52"/>
    </row>
    <row r="38" spans="1:3">
      <c r="A38" s="54" t="s">
        <v>138</v>
      </c>
      <c r="B38" s="49"/>
      <c r="C38" s="52"/>
    </row>
    <row r="39" spans="1:3">
      <c r="A39" s="54" t="s">
        <v>136</v>
      </c>
      <c r="B39" s="49"/>
      <c r="C39" s="62">
        <v>3290014</v>
      </c>
    </row>
    <row r="40" spans="1:3">
      <c r="A40" s="51" t="s">
        <v>135</v>
      </c>
      <c r="B40" s="49"/>
      <c r="C40" s="62">
        <v>1618.18</v>
      </c>
    </row>
    <row r="41" spans="1:3" ht="13.5" thickBot="1">
      <c r="A41" s="51"/>
      <c r="B41" s="49"/>
      <c r="C41" s="64">
        <f>SUM(C39:C40)</f>
        <v>3291632.18</v>
      </c>
    </row>
    <row r="42" spans="1:3" ht="13.5" thickTop="1">
      <c r="A42" s="49"/>
      <c r="B42" s="49"/>
      <c r="C42" s="62"/>
    </row>
    <row r="43" spans="1:3">
      <c r="A43" s="54" t="s">
        <v>137</v>
      </c>
      <c r="B43" s="49"/>
      <c r="C43" s="62"/>
    </row>
    <row r="44" spans="1:3">
      <c r="A44" s="54" t="s">
        <v>136</v>
      </c>
      <c r="B44" s="49"/>
      <c r="C44" s="62">
        <v>2053197.93</v>
      </c>
    </row>
    <row r="45" spans="1:3">
      <c r="A45" s="51" t="s">
        <v>135</v>
      </c>
      <c r="B45" s="49"/>
      <c r="C45" s="62">
        <v>4675.4399999999996</v>
      </c>
    </row>
    <row r="46" spans="1:3">
      <c r="A46" s="51" t="s">
        <v>134</v>
      </c>
      <c r="C46" s="65">
        <v>1052.6300000000001</v>
      </c>
    </row>
    <row r="47" spans="1:3" ht="13.5" thickBot="1">
      <c r="A47" s="51"/>
      <c r="B47" s="49"/>
      <c r="C47" s="64">
        <f>SUM(C44:C46)</f>
        <v>2058925.9999999998</v>
      </c>
    </row>
    <row r="48" spans="1:3" ht="13.5" thickTop="1">
      <c r="A48" s="49"/>
      <c r="B48" s="49"/>
      <c r="C48" s="62"/>
    </row>
    <row r="49" spans="1:3">
      <c r="A49" s="54" t="s">
        <v>133</v>
      </c>
      <c r="B49" s="49"/>
      <c r="C49" s="62"/>
    </row>
    <row r="50" spans="1:3">
      <c r="A50" s="54" t="s">
        <v>132</v>
      </c>
      <c r="B50" s="49"/>
      <c r="C50" s="62">
        <v>212858.98</v>
      </c>
    </row>
    <row r="51" spans="1:3">
      <c r="A51" s="54" t="s">
        <v>131</v>
      </c>
      <c r="B51" s="49"/>
      <c r="C51" s="62">
        <v>235953.37</v>
      </c>
    </row>
    <row r="52" spans="1:3">
      <c r="A52" s="54" t="s">
        <v>130</v>
      </c>
      <c r="B52" s="49"/>
      <c r="C52" s="62">
        <v>163705.36000000002</v>
      </c>
    </row>
    <row r="53" spans="1:3">
      <c r="A53" s="54" t="s">
        <v>129</v>
      </c>
      <c r="B53" s="49"/>
      <c r="C53" s="62">
        <v>574.9</v>
      </c>
    </row>
    <row r="54" spans="1:3" ht="13.5" thickBot="1">
      <c r="A54" s="49"/>
      <c r="B54" s="49"/>
      <c r="C54" s="53">
        <f>SUM(C50:C53)</f>
        <v>613092.61</v>
      </c>
    </row>
    <row r="55" spans="1:3" ht="13.5" thickTop="1">
      <c r="A55" s="49"/>
      <c r="B55" s="49"/>
      <c r="C55" s="52"/>
    </row>
    <row r="56" spans="1:3">
      <c r="A56" s="49"/>
      <c r="B56" s="49"/>
      <c r="C56" s="52"/>
    </row>
    <row r="57" spans="1:3" ht="13.5" thickBot="1">
      <c r="A57" s="51" t="s">
        <v>26</v>
      </c>
      <c r="B57" s="49"/>
      <c r="C57" s="50">
        <f>C10+C13+C16+C19+C25+C30+C36+C41+C47+C54</f>
        <v>9536796.0399999991</v>
      </c>
    </row>
    <row r="58" spans="1:3" ht="13.5" thickTop="1"/>
  </sheetData>
  <printOptions horizontalCentered="1"/>
  <pageMargins left="0.17" right="0.17" top="0.51" bottom="0.17" header="0.3" footer="0.17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9.7109375" bestFit="1" customWidth="1"/>
    <col min="15" max="15" width="2.7109375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127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127</v>
      </c>
      <c r="L2" s="13"/>
      <c r="M2" s="13"/>
      <c r="N2" s="13"/>
    </row>
    <row r="3" spans="1:14">
      <c r="A3" s="3" t="s">
        <v>89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127</v>
      </c>
      <c r="L3" s="13"/>
      <c r="M3" s="13"/>
      <c r="N3" s="13"/>
    </row>
    <row r="4" spans="1:14">
      <c r="A4" s="3" t="str">
        <f>'Cover Page'!A7</f>
        <v>Projected 2016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127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127</v>
      </c>
      <c r="L5" s="13"/>
      <c r="M5" s="13"/>
      <c r="N5" s="13"/>
    </row>
    <row r="6" spans="1:14">
      <c r="A6" s="35"/>
      <c r="D6" s="35"/>
    </row>
    <row r="7" spans="1:14">
      <c r="J7" s="11" t="s">
        <v>27</v>
      </c>
    </row>
    <row r="8" spans="1:14">
      <c r="J8" s="4" t="s">
        <v>40</v>
      </c>
    </row>
    <row r="9" spans="1:14">
      <c r="A9" t="s">
        <v>90</v>
      </c>
    </row>
    <row r="10" spans="1:14">
      <c r="B10" t="s">
        <v>91</v>
      </c>
      <c r="J10" s="11"/>
    </row>
    <row r="11" spans="1:14">
      <c r="C11" t="s">
        <v>92</v>
      </c>
      <c r="F11" s="12"/>
    </row>
    <row r="12" spans="1:14">
      <c r="D12" t="s">
        <v>93</v>
      </c>
      <c r="F12" s="12"/>
      <c r="J12" s="12">
        <v>666768</v>
      </c>
    </row>
    <row r="13" spans="1:14">
      <c r="C13" t="s">
        <v>94</v>
      </c>
      <c r="F13" s="12"/>
    </row>
    <row r="14" spans="1:14">
      <c r="D14" t="s">
        <v>95</v>
      </c>
      <c r="F14" s="12"/>
      <c r="J14" s="1">
        <v>1135115</v>
      </c>
    </row>
    <row r="15" spans="1:14" ht="13.5" thickBot="1">
      <c r="F15" s="1"/>
      <c r="J15" s="2">
        <f>SUM(J11:J14)</f>
        <v>1801883</v>
      </c>
    </row>
    <row r="16" spans="1:14" ht="13.5" thickTop="1">
      <c r="F16" s="1"/>
      <c r="J16" s="15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</cols>
  <sheetData>
    <row r="1" spans="1:5">
      <c r="A1" s="3" t="s">
        <v>0</v>
      </c>
      <c r="B1" s="13"/>
      <c r="C1" s="13"/>
      <c r="D1" s="13"/>
      <c r="E1" s="13"/>
    </row>
    <row r="2" spans="1:5">
      <c r="A2" s="3" t="s">
        <v>2</v>
      </c>
      <c r="B2" s="13"/>
      <c r="C2" s="13"/>
      <c r="D2" s="13"/>
      <c r="E2" s="13"/>
    </row>
    <row r="3" spans="1:5">
      <c r="A3" s="3" t="s">
        <v>72</v>
      </c>
      <c r="B3" s="13"/>
      <c r="C3" s="13"/>
      <c r="D3" s="13"/>
      <c r="E3" s="13"/>
    </row>
    <row r="4" spans="1:5">
      <c r="A4" s="3" t="str">
        <f>'Cover Page'!A7</f>
        <v>Projected 2016</v>
      </c>
      <c r="B4" s="13"/>
      <c r="C4" s="13"/>
      <c r="D4" s="13"/>
      <c r="E4" s="13"/>
    </row>
    <row r="5" spans="1:5">
      <c r="A5" s="3"/>
      <c r="B5" s="13"/>
      <c r="C5" s="13"/>
      <c r="D5" s="13"/>
      <c r="E5" s="13"/>
    </row>
    <row r="6" spans="1:5">
      <c r="A6" s="3"/>
      <c r="B6" s="13"/>
      <c r="C6" s="13"/>
      <c r="D6" s="13"/>
      <c r="E6" s="13"/>
    </row>
    <row r="7" spans="1:5">
      <c r="A7" s="22"/>
      <c r="E7" s="11" t="s">
        <v>27</v>
      </c>
    </row>
    <row r="8" spans="1:5">
      <c r="E8" s="4" t="s">
        <v>40</v>
      </c>
    </row>
    <row r="9" spans="1:5">
      <c r="A9" t="s">
        <v>70</v>
      </c>
      <c r="E9" s="1"/>
    </row>
    <row r="10" spans="1:5">
      <c r="B10" t="s">
        <v>20</v>
      </c>
      <c r="E10" s="72">
        <v>8406444</v>
      </c>
    </row>
    <row r="11" spans="1:5">
      <c r="B11" t="s">
        <v>73</v>
      </c>
      <c r="E11" s="48">
        <v>3486820</v>
      </c>
    </row>
    <row r="12" spans="1:5">
      <c r="B12" t="s">
        <v>22</v>
      </c>
      <c r="E12" s="48">
        <v>8949868</v>
      </c>
    </row>
    <row r="13" spans="1:5">
      <c r="B13" t="s">
        <v>71</v>
      </c>
      <c r="E13" s="48">
        <v>2079162</v>
      </c>
    </row>
    <row r="14" spans="1:5" ht="13.5" thickBot="1">
      <c r="A14" t="s">
        <v>69</v>
      </c>
      <c r="E14" s="2">
        <f>SUM(E10:E13)</f>
        <v>22922294</v>
      </c>
    </row>
    <row r="15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/>
  </sheetViews>
  <sheetFormatPr defaultRowHeight="12.75"/>
  <cols>
    <col min="1" max="1" width="14" customWidth="1"/>
    <col min="2" max="2" width="2.28515625" customWidth="1"/>
    <col min="3" max="3" width="10.7109375" bestFit="1" customWidth="1"/>
    <col min="4" max="4" width="2.28515625" customWidth="1"/>
    <col min="6" max="6" width="2.28515625" customWidth="1"/>
    <col min="7" max="7" width="14.42578125" bestFit="1" customWidth="1"/>
    <col min="8" max="8" width="2.28515625" customWidth="1"/>
    <col min="9" max="9" width="14.42578125" bestFit="1" customWidth="1"/>
    <col min="10" max="10" width="2.28515625" customWidth="1"/>
    <col min="11" max="11" width="12.7109375" bestFit="1" customWidth="1"/>
    <col min="12" max="12" width="2.28515625" customWidth="1"/>
    <col min="13" max="13" width="12.7109375" bestFit="1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 t="s">
        <v>105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 t="str">
        <f>'Transmission Exp incl in OATT'!A4</f>
        <v>Projected 2016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3" s="30" customFormat="1">
      <c r="C7" s="30" t="s">
        <v>106</v>
      </c>
      <c r="E7" s="30" t="s">
        <v>108</v>
      </c>
      <c r="G7" s="30" t="s">
        <v>110</v>
      </c>
      <c r="I7" s="30" t="s">
        <v>112</v>
      </c>
      <c r="K7" s="30" t="s">
        <v>106</v>
      </c>
      <c r="M7" s="30" t="s">
        <v>108</v>
      </c>
    </row>
    <row r="8" spans="1:13" s="30" customFormat="1">
      <c r="C8" s="4" t="s">
        <v>107</v>
      </c>
      <c r="E8" s="4" t="s">
        <v>109</v>
      </c>
      <c r="G8" s="4" t="s">
        <v>111</v>
      </c>
      <c r="I8" s="4">
        <v>123.1</v>
      </c>
      <c r="K8" s="4" t="s">
        <v>113</v>
      </c>
      <c r="M8" s="4" t="s">
        <v>114</v>
      </c>
    </row>
    <row r="9" spans="1:13">
      <c r="A9" s="9" t="s">
        <v>183</v>
      </c>
      <c r="C9" s="72"/>
      <c r="D9" s="72"/>
      <c r="E9" s="72"/>
      <c r="F9" s="72"/>
      <c r="G9" s="72">
        <v>2630350000</v>
      </c>
      <c r="H9" s="72"/>
      <c r="I9" s="72">
        <v>1977246000</v>
      </c>
      <c r="J9" s="72"/>
      <c r="K9" s="72">
        <v>620121000</v>
      </c>
      <c r="L9" s="72"/>
      <c r="M9" s="72">
        <v>15000000</v>
      </c>
    </row>
    <row r="10" spans="1:13">
      <c r="A10" s="9" t="s">
        <v>184</v>
      </c>
      <c r="C10" s="72">
        <v>2635785</v>
      </c>
      <c r="D10" s="72"/>
      <c r="E10" s="72">
        <v>57084</v>
      </c>
      <c r="F10" s="48"/>
      <c r="G10" s="48">
        <v>2637347000</v>
      </c>
      <c r="H10" s="48"/>
      <c r="I10" s="48">
        <v>1977246000</v>
      </c>
      <c r="J10" s="48"/>
      <c r="K10" s="48">
        <v>640737000</v>
      </c>
      <c r="L10" s="48"/>
      <c r="M10" s="48">
        <v>15000000</v>
      </c>
    </row>
    <row r="11" spans="1:13">
      <c r="A11" s="9" t="s">
        <v>4</v>
      </c>
      <c r="C11" s="48">
        <v>2642985</v>
      </c>
      <c r="D11" s="48"/>
      <c r="E11" s="48">
        <v>57084</v>
      </c>
      <c r="F11" s="48"/>
      <c r="G11" s="48">
        <v>2635873000</v>
      </c>
      <c r="H11" s="48"/>
      <c r="I11" s="48">
        <v>1977246000</v>
      </c>
      <c r="J11" s="48"/>
      <c r="K11" s="48">
        <v>634400000</v>
      </c>
      <c r="L11" s="48"/>
      <c r="M11" s="48">
        <v>15000000</v>
      </c>
    </row>
    <row r="12" spans="1:13">
      <c r="A12" s="9" t="s">
        <v>5</v>
      </c>
      <c r="C12" s="48">
        <v>2630047</v>
      </c>
      <c r="D12" s="48"/>
      <c r="E12" s="48">
        <v>57084</v>
      </c>
      <c r="F12" s="48"/>
      <c r="G12" s="48">
        <v>2641249000</v>
      </c>
      <c r="H12" s="48"/>
      <c r="I12" s="48">
        <v>1977246000</v>
      </c>
      <c r="J12" s="48"/>
      <c r="K12" s="48">
        <v>613084000</v>
      </c>
      <c r="L12" s="48"/>
      <c r="M12" s="48">
        <v>15000000</v>
      </c>
    </row>
    <row r="13" spans="1:13">
      <c r="A13" s="9" t="s">
        <v>6</v>
      </c>
      <c r="C13" s="48">
        <v>2622420</v>
      </c>
      <c r="D13" s="48"/>
      <c r="E13" s="48">
        <v>57084</v>
      </c>
      <c r="F13" s="48"/>
      <c r="G13" s="48">
        <v>2644592000</v>
      </c>
      <c r="H13" s="48"/>
      <c r="I13" s="48">
        <v>1977246000</v>
      </c>
      <c r="J13" s="48"/>
      <c r="K13" s="48">
        <v>613121000</v>
      </c>
      <c r="L13" s="48"/>
      <c r="M13" s="48">
        <v>15000000</v>
      </c>
    </row>
    <row r="14" spans="1:13">
      <c r="A14" s="9" t="s">
        <v>7</v>
      </c>
      <c r="C14" s="48">
        <v>2621886</v>
      </c>
      <c r="D14" s="48"/>
      <c r="E14" s="48">
        <v>57083</v>
      </c>
      <c r="F14" s="48"/>
      <c r="G14" s="48">
        <v>2636963000</v>
      </c>
      <c r="H14" s="48"/>
      <c r="I14" s="48">
        <v>1977246000</v>
      </c>
      <c r="J14" s="48"/>
      <c r="K14" s="48">
        <v>613925000</v>
      </c>
      <c r="L14" s="48"/>
      <c r="M14" s="48">
        <v>15000000</v>
      </c>
    </row>
    <row r="15" spans="1:13">
      <c r="A15" s="9" t="s">
        <v>8</v>
      </c>
      <c r="C15" s="48">
        <v>2648813</v>
      </c>
      <c r="D15" s="48"/>
      <c r="E15" s="48">
        <v>57083</v>
      </c>
      <c r="F15" s="48"/>
      <c r="G15" s="48">
        <v>2639757000</v>
      </c>
      <c r="H15" s="48"/>
      <c r="I15" s="48">
        <v>1977246000</v>
      </c>
      <c r="J15" s="48"/>
      <c r="K15" s="48">
        <v>659312000</v>
      </c>
      <c r="L15" s="48"/>
      <c r="M15" s="48">
        <v>15000000</v>
      </c>
    </row>
    <row r="16" spans="1:13">
      <c r="A16" s="9" t="s">
        <v>9</v>
      </c>
      <c r="C16" s="48">
        <v>2724171</v>
      </c>
      <c r="D16" s="48"/>
      <c r="E16" s="48">
        <v>57083</v>
      </c>
      <c r="F16" s="48"/>
      <c r="G16" s="48">
        <v>2644623000</v>
      </c>
      <c r="H16" s="48"/>
      <c r="I16" s="48">
        <v>1977246000</v>
      </c>
      <c r="J16" s="48"/>
      <c r="K16" s="48">
        <v>691499000</v>
      </c>
      <c r="L16" s="48"/>
      <c r="M16" s="48">
        <v>15000000</v>
      </c>
    </row>
    <row r="17" spans="1:13">
      <c r="A17" s="9" t="s">
        <v>10</v>
      </c>
      <c r="C17" s="48">
        <v>2761310</v>
      </c>
      <c r="D17" s="48"/>
      <c r="E17" s="48">
        <v>57083</v>
      </c>
      <c r="F17" s="48"/>
      <c r="G17" s="48">
        <v>2640402000</v>
      </c>
      <c r="H17" s="48"/>
      <c r="I17" s="48">
        <v>1977246000</v>
      </c>
      <c r="J17" s="48"/>
      <c r="K17" s="48">
        <v>708764000</v>
      </c>
      <c r="L17" s="48"/>
      <c r="M17" s="48">
        <v>15000000</v>
      </c>
    </row>
    <row r="18" spans="1:13">
      <c r="A18" s="9" t="s">
        <v>11</v>
      </c>
      <c r="C18" s="48">
        <v>2769407</v>
      </c>
      <c r="D18" s="48"/>
      <c r="E18" s="48">
        <v>57083</v>
      </c>
      <c r="F18" s="48"/>
      <c r="G18" s="48">
        <v>2664393000</v>
      </c>
      <c r="H18" s="48"/>
      <c r="I18" s="48">
        <v>1977246000</v>
      </c>
      <c r="J18" s="48"/>
      <c r="K18" s="48">
        <v>702635000</v>
      </c>
      <c r="L18" s="48"/>
      <c r="M18" s="48">
        <v>15000000</v>
      </c>
    </row>
    <row r="19" spans="1:13">
      <c r="A19" s="9" t="s">
        <v>12</v>
      </c>
      <c r="C19" s="48">
        <v>2536635</v>
      </c>
      <c r="D19" s="48"/>
      <c r="E19" s="48">
        <v>57083</v>
      </c>
      <c r="F19" s="48"/>
      <c r="G19" s="48">
        <v>2667944000</v>
      </c>
      <c r="H19" s="48"/>
      <c r="I19" s="48">
        <v>1977246000</v>
      </c>
      <c r="J19" s="48"/>
      <c r="K19" s="48">
        <v>720853000</v>
      </c>
      <c r="L19" s="48"/>
      <c r="M19" s="48">
        <v>15000000</v>
      </c>
    </row>
    <row r="20" spans="1:13">
      <c r="A20" s="9" t="s">
        <v>13</v>
      </c>
      <c r="C20" s="48">
        <v>2582959</v>
      </c>
      <c r="D20" s="48"/>
      <c r="E20" s="48">
        <v>57083</v>
      </c>
      <c r="F20" s="48"/>
      <c r="G20" s="48">
        <v>2665930000</v>
      </c>
      <c r="H20" s="48"/>
      <c r="I20" s="48">
        <v>1977246000</v>
      </c>
      <c r="J20" s="48"/>
      <c r="K20" s="48">
        <v>728533000</v>
      </c>
      <c r="L20" s="48"/>
      <c r="M20" s="48">
        <v>15000000</v>
      </c>
    </row>
    <row r="21" spans="1:13">
      <c r="A21" s="9" t="s">
        <v>14</v>
      </c>
      <c r="C21" s="48">
        <v>2590444</v>
      </c>
      <c r="D21" s="48"/>
      <c r="E21" s="48">
        <v>57083</v>
      </c>
      <c r="F21" s="48"/>
      <c r="G21" s="48">
        <v>2673935000</v>
      </c>
      <c r="H21" s="48"/>
      <c r="I21" s="48">
        <v>1977246000</v>
      </c>
      <c r="J21" s="48"/>
      <c r="K21" s="48">
        <v>732386000</v>
      </c>
      <c r="L21" s="48"/>
      <c r="M21" s="48">
        <v>15000000</v>
      </c>
    </row>
    <row r="22" spans="1:13">
      <c r="A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5" thickBot="1">
      <c r="A23" t="s">
        <v>192</v>
      </c>
      <c r="C23" s="2">
        <f>SUM(C10:C21)</f>
        <v>31766862</v>
      </c>
      <c r="D23" s="15"/>
      <c r="E23" s="2">
        <f>SUM(E10:E21)</f>
        <v>685000</v>
      </c>
      <c r="F23" s="1"/>
      <c r="G23" s="1"/>
      <c r="H23" s="1"/>
      <c r="I23" s="1"/>
      <c r="J23" s="1"/>
      <c r="K23" s="1"/>
      <c r="L23" s="1"/>
      <c r="M23" s="1"/>
    </row>
    <row r="24" spans="1:13" ht="14.25" thickTop="1" thickBot="1">
      <c r="A24" t="s">
        <v>115</v>
      </c>
      <c r="C24" s="1"/>
      <c r="D24" s="1"/>
      <c r="E24" s="1"/>
      <c r="F24" s="1"/>
      <c r="G24" s="2">
        <f>ROUND(AVERAGE(G9:G21),0)</f>
        <v>2647950615</v>
      </c>
      <c r="H24" s="1"/>
      <c r="I24" s="2">
        <f>ROUND(AVERAGE(I9:I21),0)</f>
        <v>1977246000</v>
      </c>
      <c r="J24" s="1"/>
      <c r="K24" s="2">
        <f>ROUND(AVERAGE(K9:K21),0)</f>
        <v>667643846</v>
      </c>
      <c r="L24" s="1"/>
      <c r="M24" s="2">
        <f>ROUND(AVERAGE(M9:M21),0)</f>
        <v>15000000</v>
      </c>
    </row>
    <row r="25" spans="1:13" ht="13.5" thickTop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178</v>
      </c>
      <c r="B3" s="3"/>
      <c r="C3" s="3"/>
    </row>
    <row r="4" spans="1:3">
      <c r="A4" s="3" t="s">
        <v>180</v>
      </c>
      <c r="B4" s="3"/>
      <c r="C4" s="3"/>
    </row>
    <row r="8" spans="1:3">
      <c r="A8" s="9" t="s">
        <v>199</v>
      </c>
      <c r="C8" s="72">
        <v>3097</v>
      </c>
    </row>
    <row r="9" spans="1:3">
      <c r="A9" t="s">
        <v>10</v>
      </c>
      <c r="C9" s="48">
        <v>2861</v>
      </c>
    </row>
    <row r="10" spans="1:3">
      <c r="A10" s="68" t="s">
        <v>11</v>
      </c>
      <c r="C10" s="48">
        <v>2138</v>
      </c>
    </row>
    <row r="11" spans="1:3">
      <c r="A11" s="68" t="s">
        <v>12</v>
      </c>
      <c r="C11" s="48">
        <v>2327</v>
      </c>
    </row>
    <row r="12" spans="1:3">
      <c r="A12" s="68" t="s">
        <v>13</v>
      </c>
      <c r="C12" s="48">
        <v>6209</v>
      </c>
    </row>
    <row r="13" spans="1:3">
      <c r="A13" s="68" t="s">
        <v>14</v>
      </c>
      <c r="C13" s="48">
        <v>6742</v>
      </c>
    </row>
    <row r="14" spans="1:3">
      <c r="A14" s="9" t="s">
        <v>18</v>
      </c>
      <c r="C14" s="48">
        <v>2865</v>
      </c>
    </row>
    <row r="15" spans="1:3">
      <c r="A15" s="68" t="s">
        <v>4</v>
      </c>
      <c r="C15" s="48">
        <v>3388</v>
      </c>
    </row>
    <row r="16" spans="1:3">
      <c r="A16" s="68" t="s">
        <v>5</v>
      </c>
      <c r="C16" s="48">
        <v>2845</v>
      </c>
    </row>
    <row r="17" spans="1:3">
      <c r="A17" s="68" t="s">
        <v>6</v>
      </c>
      <c r="C17" s="48">
        <v>3709</v>
      </c>
    </row>
    <row r="18" spans="1:3">
      <c r="A18" s="68" t="s">
        <v>7</v>
      </c>
      <c r="C18" s="48">
        <v>3370</v>
      </c>
    </row>
    <row r="19" spans="1:3">
      <c r="A19" s="68" t="s">
        <v>8</v>
      </c>
      <c r="C19" s="48">
        <v>3466</v>
      </c>
    </row>
    <row r="20" spans="1:3" ht="13.5" thickBot="1">
      <c r="C20" s="2">
        <f>SUM(C8:C19)</f>
        <v>43017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2.75"/>
  <cols>
    <col min="1" max="2" width="2.7109375" customWidth="1"/>
    <col min="3" max="3" width="20.7109375" style="68" customWidth="1"/>
    <col min="4" max="4" width="3.7109375" style="68" customWidth="1"/>
    <col min="5" max="5" width="13.42578125" bestFit="1" customWidth="1"/>
  </cols>
  <sheetData>
    <row r="1" spans="1:6">
      <c r="A1" s="3" t="s">
        <v>0</v>
      </c>
      <c r="B1" s="3"/>
      <c r="C1" s="3"/>
      <c r="D1" s="3"/>
      <c r="E1" s="3"/>
    </row>
    <row r="2" spans="1:6">
      <c r="A2" s="3" t="s">
        <v>2</v>
      </c>
      <c r="B2" s="3"/>
      <c r="C2" s="3"/>
      <c r="D2" s="3"/>
      <c r="E2" s="3"/>
    </row>
    <row r="3" spans="1:6">
      <c r="A3" s="3" t="s">
        <v>164</v>
      </c>
      <c r="B3" s="3"/>
      <c r="C3" s="3"/>
      <c r="D3" s="3"/>
      <c r="E3" s="3"/>
    </row>
    <row r="4" spans="1:6">
      <c r="A4" s="3" t="str">
        <f>'MISO Schedule 1'!A4</f>
        <v>Projected 2016</v>
      </c>
      <c r="B4" s="3"/>
      <c r="C4" s="3"/>
      <c r="D4" s="3"/>
      <c r="E4" s="3"/>
    </row>
    <row r="8" spans="1:6">
      <c r="A8" t="s">
        <v>165</v>
      </c>
    </row>
    <row r="9" spans="1:6">
      <c r="B9" t="s">
        <v>96</v>
      </c>
    </row>
    <row r="10" spans="1:6">
      <c r="C10" s="68" t="s">
        <v>20</v>
      </c>
      <c r="E10" s="12">
        <f>'Plant in Service'!C22</f>
        <v>948322763</v>
      </c>
    </row>
    <row r="11" spans="1:6">
      <c r="C11" s="68" t="s">
        <v>21</v>
      </c>
      <c r="E11" s="1">
        <f>'Plant in Service'!E22</f>
        <v>309739536</v>
      </c>
    </row>
    <row r="12" spans="1:6">
      <c r="C12" s="68" t="s">
        <v>22</v>
      </c>
      <c r="E12" s="1">
        <f>'Plant in Service'!G22</f>
        <v>364494239</v>
      </c>
    </row>
    <row r="13" spans="1:6">
      <c r="C13" s="68" t="s">
        <v>23</v>
      </c>
      <c r="E13" s="1">
        <f>'Plant in Service'!G41</f>
        <v>37851074</v>
      </c>
      <c r="F13" s="30"/>
    </row>
    <row r="14" spans="1:6">
      <c r="C14" s="68" t="s">
        <v>25</v>
      </c>
      <c r="E14" s="1">
        <f>'Plant in Service'!M41</f>
        <v>71016973</v>
      </c>
      <c r="F14" s="30"/>
    </row>
    <row r="15" spans="1:6">
      <c r="B15" t="s">
        <v>166</v>
      </c>
      <c r="E15" s="29">
        <f>SUM(E10:E14)</f>
        <v>1731424585</v>
      </c>
    </row>
    <row r="17" spans="1:5">
      <c r="B17" t="s">
        <v>160</v>
      </c>
      <c r="E17" s="1"/>
    </row>
    <row r="18" spans="1:5">
      <c r="C18" s="68" t="s">
        <v>175</v>
      </c>
      <c r="E18" s="48">
        <v>513194863</v>
      </c>
    </row>
    <row r="19" spans="1:5">
      <c r="C19" s="68" t="s">
        <v>176</v>
      </c>
      <c r="E19" s="48">
        <v>51458596</v>
      </c>
    </row>
    <row r="20" spans="1:5">
      <c r="A20" s="68"/>
      <c r="B20" s="68" t="s">
        <v>177</v>
      </c>
      <c r="E20" s="29">
        <f>SUM(E18:E19)</f>
        <v>564653459</v>
      </c>
    </row>
    <row r="22" spans="1:5" ht="13.5" thickBot="1">
      <c r="A22" t="s">
        <v>69</v>
      </c>
      <c r="E22" s="2">
        <f>E15+E20</f>
        <v>2296078044</v>
      </c>
    </row>
    <row r="23" spans="1:5" ht="13.5" thickTop="1"/>
    <row r="25" spans="1:5">
      <c r="E25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/>
  </sheetViews>
  <sheetFormatPr defaultRowHeight="12.75"/>
  <cols>
    <col min="1" max="2" width="2.7109375" customWidth="1"/>
    <col min="3" max="3" width="57.140625" bestFit="1" customWidth="1"/>
    <col min="5" max="5" width="10.7109375" style="1" bestFit="1" customWidth="1"/>
  </cols>
  <sheetData>
    <row r="1" spans="1:5">
      <c r="A1" s="69" t="s">
        <v>0</v>
      </c>
      <c r="B1" s="69"/>
      <c r="C1" s="69"/>
      <c r="D1" s="69"/>
      <c r="E1" s="70"/>
    </row>
    <row r="2" spans="1:5">
      <c r="A2" s="69" t="s">
        <v>2</v>
      </c>
      <c r="B2" s="69"/>
      <c r="C2" s="69"/>
      <c r="D2" s="69"/>
      <c r="E2" s="70"/>
    </row>
    <row r="3" spans="1:5">
      <c r="A3" s="69" t="s">
        <v>168</v>
      </c>
      <c r="B3" s="69"/>
      <c r="C3" s="69"/>
      <c r="D3" s="69"/>
      <c r="E3" s="70"/>
    </row>
    <row r="4" spans="1:5">
      <c r="A4" s="69" t="str">
        <f>'Common Plant Allocator'!A4</f>
        <v>Projected 2016</v>
      </c>
      <c r="B4" s="69"/>
      <c r="C4" s="69"/>
      <c r="D4" s="69"/>
      <c r="E4" s="70"/>
    </row>
    <row r="8" spans="1:5">
      <c r="A8" t="s">
        <v>169</v>
      </c>
      <c r="E8" s="72">
        <v>18752</v>
      </c>
    </row>
    <row r="10" spans="1:5">
      <c r="A10" t="s">
        <v>167</v>
      </c>
    </row>
    <row r="11" spans="1:5">
      <c r="B11" t="s">
        <v>170</v>
      </c>
    </row>
    <row r="12" spans="1:5">
      <c r="C12" t="s">
        <v>171</v>
      </c>
      <c r="E12" s="48">
        <v>11925111</v>
      </c>
    </row>
    <row r="13" spans="1:5">
      <c r="C13" t="s">
        <v>172</v>
      </c>
      <c r="E13" s="48">
        <v>1796825</v>
      </c>
    </row>
    <row r="14" spans="1:5">
      <c r="C14" t="s">
        <v>173</v>
      </c>
      <c r="E14" s="91">
        <v>3436578</v>
      </c>
    </row>
    <row r="15" spans="1:5">
      <c r="E15" s="1">
        <f>SUM(E12:E14)</f>
        <v>17158514</v>
      </c>
    </row>
    <row r="16" spans="1:5">
      <c r="B16" t="s">
        <v>257</v>
      </c>
    </row>
    <row r="17" spans="1:5">
      <c r="C17" t="str">
        <f>C13</f>
        <v>Attachment GG Revenue Requirement</v>
      </c>
      <c r="E17" s="1">
        <f>E13</f>
        <v>1796825</v>
      </c>
    </row>
    <row r="19" spans="1:5">
      <c r="B19" s="68" t="s">
        <v>258</v>
      </c>
      <c r="C19" s="68"/>
      <c r="D19" s="68"/>
      <c r="E19" s="15"/>
    </row>
    <row r="20" spans="1:5">
      <c r="C20" t="str">
        <f>C17</f>
        <v>Attachment GG Revenue Requirement</v>
      </c>
      <c r="E20" s="1">
        <f>E14</f>
        <v>3436578</v>
      </c>
    </row>
    <row r="22" spans="1:5" ht="13.5" thickBot="1">
      <c r="A22" t="s">
        <v>174</v>
      </c>
      <c r="E22" s="44">
        <f>E8+E15-E17-E20</f>
        <v>11943863</v>
      </c>
    </row>
    <row r="23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workbookViewId="0"/>
  </sheetViews>
  <sheetFormatPr defaultRowHeight="15"/>
  <cols>
    <col min="1" max="1" width="26.140625" style="103" customWidth="1"/>
    <col min="2" max="2" width="17.140625" style="103" customWidth="1"/>
    <col min="3" max="7" width="16" style="103" customWidth="1"/>
    <col min="8" max="8" width="10.7109375" style="103" bestFit="1" customWidth="1"/>
    <col min="9" max="9" width="18.5703125" style="103" bestFit="1" customWidth="1"/>
    <col min="10" max="10" width="12.85546875" style="103" bestFit="1" customWidth="1"/>
    <col min="11" max="11" width="2" style="103" customWidth="1"/>
    <col min="12" max="12" width="14.140625" style="103" bestFit="1" customWidth="1"/>
    <col min="13" max="13" width="12.85546875" style="103" bestFit="1" customWidth="1"/>
    <col min="14" max="14" width="1.5703125" style="103" customWidth="1"/>
    <col min="15" max="15" width="16.85546875" style="103" bestFit="1" customWidth="1"/>
    <col min="16" max="16" width="15.42578125" style="103" bestFit="1" customWidth="1"/>
    <col min="17" max="17" width="9.140625" style="103"/>
    <col min="18" max="18" width="14.140625" style="103" bestFit="1" customWidth="1"/>
    <col min="19" max="19" width="12.85546875" style="103" bestFit="1" customWidth="1"/>
    <col min="20" max="16384" width="9.140625" style="103"/>
  </cols>
  <sheetData>
    <row r="1" spans="1:24" ht="15.75">
      <c r="B1" s="92" t="s">
        <v>0</v>
      </c>
      <c r="C1" s="92"/>
      <c r="D1" s="92"/>
      <c r="E1" s="92"/>
      <c r="F1" s="93"/>
      <c r="G1" s="93"/>
      <c r="H1" s="94"/>
      <c r="I1" s="94"/>
      <c r="J1" s="94"/>
    </row>
    <row r="2" spans="1:24" ht="15.75">
      <c r="B2" s="92" t="s">
        <v>233</v>
      </c>
      <c r="C2" s="92"/>
      <c r="D2" s="92"/>
      <c r="E2" s="92"/>
      <c r="F2" s="93"/>
      <c r="G2" s="93"/>
      <c r="H2" s="94"/>
      <c r="I2" s="94"/>
      <c r="J2" s="94"/>
    </row>
    <row r="3" spans="1:24" ht="15.75">
      <c r="B3" s="106" t="s">
        <v>234</v>
      </c>
      <c r="C3" s="92"/>
      <c r="D3" s="92"/>
      <c r="E3" s="92"/>
      <c r="F3" s="93"/>
      <c r="G3" s="93"/>
      <c r="H3" s="94"/>
      <c r="I3" s="94"/>
      <c r="J3" s="94"/>
    </row>
    <row r="4" spans="1:24" ht="15.75">
      <c r="B4" s="92" t="s">
        <v>235</v>
      </c>
      <c r="C4" s="92"/>
      <c r="D4" s="92"/>
      <c r="E4" s="92"/>
      <c r="F4" s="93"/>
      <c r="G4" s="93"/>
      <c r="H4" s="94"/>
      <c r="I4" s="94"/>
      <c r="J4" s="94"/>
    </row>
    <row r="5" spans="1:24" ht="15.75">
      <c r="B5" s="92" t="s">
        <v>236</v>
      </c>
      <c r="C5" s="92"/>
      <c r="D5" s="92"/>
      <c r="E5" s="92"/>
      <c r="F5" s="93"/>
      <c r="G5" s="93"/>
      <c r="H5" s="94"/>
      <c r="I5" s="94"/>
      <c r="J5" s="94"/>
    </row>
    <row r="6" spans="1:24" ht="15.75">
      <c r="A6" s="95"/>
      <c r="B6" s="95"/>
      <c r="C6" s="95"/>
      <c r="D6" s="95"/>
      <c r="E6" s="95"/>
      <c r="F6" s="95"/>
      <c r="G6" s="95"/>
      <c r="H6" s="94"/>
      <c r="I6" s="94"/>
      <c r="J6" s="94"/>
    </row>
    <row r="7" spans="1:24" ht="15.75">
      <c r="A7" s="94"/>
      <c r="B7" s="94"/>
      <c r="C7" s="94"/>
      <c r="D7" s="94"/>
      <c r="E7" s="94"/>
      <c r="F7" s="94"/>
      <c r="G7" s="94"/>
      <c r="H7" s="94"/>
      <c r="I7" s="94"/>
      <c r="J7" s="94"/>
    </row>
    <row r="9" spans="1:24">
      <c r="A9" s="103" t="s">
        <v>237</v>
      </c>
    </row>
    <row r="10" spans="1:24"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>
      <c r="A11" s="103" t="s">
        <v>238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5.75">
      <c r="C12" s="106" t="s">
        <v>180</v>
      </c>
      <c r="F12" s="96"/>
      <c r="G12" s="107"/>
      <c r="H12" s="107"/>
      <c r="I12" s="96"/>
      <c r="J12" s="107"/>
      <c r="K12" s="107"/>
      <c r="L12" s="108"/>
      <c r="M12" s="107"/>
      <c r="N12" s="107"/>
      <c r="O12" s="108"/>
      <c r="P12" s="107"/>
      <c r="Q12" s="107"/>
      <c r="R12" s="108"/>
      <c r="S12" s="107"/>
      <c r="T12" s="107"/>
      <c r="U12" s="107"/>
      <c r="V12" s="107"/>
      <c r="W12" s="107"/>
      <c r="X12" s="107"/>
    </row>
    <row r="13" spans="1:24">
      <c r="B13" s="103" t="s">
        <v>239</v>
      </c>
      <c r="C13" s="103" t="s">
        <v>240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>
      <c r="A14" s="103" t="s">
        <v>241</v>
      </c>
      <c r="B14" s="109">
        <v>0</v>
      </c>
      <c r="C14" s="110">
        <v>5.1607050000000002E-2</v>
      </c>
      <c r="D14" s="110">
        <f>$B14*C14</f>
        <v>0</v>
      </c>
      <c r="E14" s="109"/>
      <c r="F14" s="111"/>
      <c r="G14" s="111"/>
      <c r="H14" s="111"/>
      <c r="I14" s="111"/>
      <c r="J14" s="111"/>
      <c r="K14" s="107"/>
      <c r="L14" s="111"/>
      <c r="M14" s="111"/>
      <c r="N14" s="111"/>
      <c r="O14" s="111"/>
      <c r="P14" s="111"/>
      <c r="Q14" s="107"/>
      <c r="R14" s="111"/>
      <c r="S14" s="111"/>
      <c r="T14" s="107"/>
      <c r="U14" s="107"/>
      <c r="V14" s="107"/>
      <c r="W14" s="107"/>
      <c r="X14" s="107"/>
    </row>
    <row r="15" spans="1:24">
      <c r="A15" s="103" t="s">
        <v>242</v>
      </c>
      <c r="B15" s="109">
        <v>4.3099999999999999E-2</v>
      </c>
      <c r="C15" s="110">
        <v>0.72196505</v>
      </c>
      <c r="D15" s="110">
        <f>$B15*C15</f>
        <v>3.1116693655E-2</v>
      </c>
      <c r="E15" s="109"/>
      <c r="F15" s="111"/>
      <c r="G15" s="111"/>
      <c r="H15" s="111"/>
      <c r="I15" s="111"/>
      <c r="J15" s="111"/>
      <c r="K15" s="107"/>
      <c r="L15" s="111"/>
      <c r="M15" s="111"/>
      <c r="N15" s="111"/>
      <c r="O15" s="111"/>
      <c r="P15" s="111"/>
      <c r="Q15" s="107"/>
      <c r="R15" s="111"/>
      <c r="S15" s="111"/>
      <c r="T15" s="107"/>
      <c r="U15" s="107"/>
      <c r="V15" s="107"/>
      <c r="W15" s="107"/>
      <c r="X15" s="107"/>
    </row>
    <row r="16" spans="1:24">
      <c r="A16" s="103" t="s">
        <v>243</v>
      </c>
      <c r="B16" s="109">
        <v>6.7500000000000004E-2</v>
      </c>
      <c r="C16" s="112">
        <v>0.22642789999999999</v>
      </c>
      <c r="D16" s="112">
        <f>$B16*C16</f>
        <v>1.528388325E-2</v>
      </c>
      <c r="E16" s="109"/>
      <c r="F16" s="111"/>
      <c r="G16" s="111"/>
      <c r="H16" s="111"/>
      <c r="I16" s="111"/>
      <c r="J16" s="111"/>
      <c r="K16" s="107"/>
      <c r="L16" s="111"/>
      <c r="M16" s="111"/>
      <c r="N16" s="111"/>
      <c r="O16" s="111"/>
      <c r="P16" s="111"/>
      <c r="Q16" s="107"/>
      <c r="R16" s="111"/>
      <c r="S16" s="111"/>
      <c r="T16" s="107"/>
      <c r="U16" s="107"/>
      <c r="V16" s="107"/>
      <c r="W16" s="107"/>
      <c r="X16" s="107"/>
    </row>
    <row r="17" spans="1:24">
      <c r="C17" s="110">
        <f>SUM(C14:C16)</f>
        <v>1</v>
      </c>
      <c r="D17" s="110">
        <f>SUM(D14:D16)</f>
        <v>4.6400576904999997E-2</v>
      </c>
      <c r="F17" s="111"/>
      <c r="G17" s="111"/>
      <c r="H17" s="111"/>
      <c r="I17" s="111"/>
      <c r="J17" s="111"/>
      <c r="K17" s="107"/>
      <c r="L17" s="111"/>
      <c r="M17" s="111"/>
      <c r="N17" s="111"/>
      <c r="O17" s="111"/>
      <c r="P17" s="111"/>
      <c r="Q17" s="107"/>
      <c r="R17" s="107"/>
      <c r="S17" s="111"/>
      <c r="T17" s="107"/>
      <c r="U17" s="107"/>
      <c r="V17" s="107"/>
      <c r="W17" s="107"/>
      <c r="X17" s="107"/>
    </row>
    <row r="18" spans="1:24">
      <c r="I18" s="110"/>
      <c r="J18" s="110"/>
      <c r="K18" s="110"/>
      <c r="L18" s="110"/>
      <c r="M18" s="110"/>
    </row>
    <row r="19" spans="1:24">
      <c r="I19" s="110"/>
      <c r="J19" s="110"/>
      <c r="K19" s="110"/>
      <c r="L19" s="110"/>
      <c r="M19" s="110"/>
    </row>
    <row r="22" spans="1:24" ht="20.25">
      <c r="A22" s="97" t="s">
        <v>244</v>
      </c>
      <c r="B22" s="98" t="s">
        <v>245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99"/>
      <c r="O22" s="99"/>
      <c r="Q22" s="100"/>
      <c r="R22" s="101"/>
      <c r="S22" s="102"/>
    </row>
    <row r="23" spans="1:24" ht="20.25">
      <c r="A23" s="97"/>
      <c r="B23" s="98" t="s">
        <v>246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99"/>
      <c r="O23" s="99"/>
      <c r="Q23" s="100"/>
      <c r="R23" s="101"/>
      <c r="S23" s="102"/>
    </row>
    <row r="24" spans="1:24" ht="20.25">
      <c r="A24" s="97"/>
      <c r="B24" s="98" t="s">
        <v>247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99"/>
      <c r="O24" s="99"/>
      <c r="Q24" s="100"/>
      <c r="R24" s="101"/>
      <c r="S24" s="102"/>
    </row>
    <row r="25" spans="1:24" ht="20.25">
      <c r="A25" s="97"/>
      <c r="B25" s="98" t="s">
        <v>248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99"/>
      <c r="O25" s="99"/>
      <c r="Q25" s="100"/>
      <c r="R25" s="101"/>
      <c r="S25" s="102"/>
    </row>
    <row r="26" spans="1:24" ht="20.25">
      <c r="A26" s="97"/>
      <c r="B26" s="98" t="s">
        <v>249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99"/>
      <c r="O26" s="99"/>
      <c r="Q26" s="100"/>
      <c r="R26" s="101"/>
      <c r="S26" s="102"/>
    </row>
    <row r="27" spans="1:24" ht="20.25">
      <c r="A27" s="97"/>
      <c r="B27" s="98" t="s">
        <v>250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99"/>
      <c r="O27" s="99"/>
      <c r="Q27" s="100"/>
      <c r="R27" s="101"/>
      <c r="S27" s="102"/>
    </row>
    <row r="28" spans="1:24" ht="20.25">
      <c r="A28" s="97"/>
      <c r="F28" s="104" t="s">
        <v>251</v>
      </c>
      <c r="G28" s="98" t="s">
        <v>252</v>
      </c>
      <c r="H28" s="105">
        <v>0.35</v>
      </c>
      <c r="I28" s="98"/>
      <c r="J28" s="98"/>
      <c r="K28" s="98"/>
      <c r="L28" s="98"/>
      <c r="M28" s="99"/>
      <c r="N28" s="99"/>
      <c r="O28" s="99"/>
      <c r="Q28" s="100"/>
      <c r="R28" s="101"/>
      <c r="S28" s="102"/>
    </row>
    <row r="29" spans="1:24" ht="20.25">
      <c r="A29" s="97"/>
      <c r="F29" s="98"/>
      <c r="G29" s="98" t="s">
        <v>253</v>
      </c>
      <c r="H29" s="105">
        <f>ROUND(D17,4)</f>
        <v>4.6399999999999997E-2</v>
      </c>
      <c r="I29" s="98" t="s">
        <v>254</v>
      </c>
      <c r="J29" s="98"/>
      <c r="K29" s="98"/>
      <c r="L29" s="98"/>
      <c r="M29" s="99"/>
      <c r="N29" s="99"/>
      <c r="O29" s="99"/>
      <c r="Q29" s="100"/>
      <c r="R29" s="101"/>
      <c r="S29" s="113"/>
    </row>
    <row r="30" spans="1:24" ht="20.25">
      <c r="A30" s="97"/>
      <c r="F30" s="98"/>
      <c r="G30" s="98" t="s">
        <v>255</v>
      </c>
      <c r="H30" s="105">
        <v>0</v>
      </c>
      <c r="I30" s="98" t="s">
        <v>256</v>
      </c>
      <c r="J30" s="98"/>
      <c r="K30" s="98"/>
      <c r="L30" s="98"/>
      <c r="M30" s="99"/>
      <c r="N30" s="99"/>
      <c r="O30" s="99"/>
      <c r="Q30" s="100"/>
      <c r="R30" s="101"/>
      <c r="S30" s="102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RowHeight="12.75"/>
  <cols>
    <col min="1" max="2" width="2.7109375" style="6" customWidth="1"/>
    <col min="3" max="3" width="55.7109375" style="6" customWidth="1"/>
    <col min="4" max="4" width="9.140625" style="6"/>
    <col min="5" max="5" width="12.28515625" style="38" bestFit="1" customWidth="1"/>
    <col min="6" max="6" width="2.7109375" style="6" customWidth="1"/>
    <col min="7" max="7" width="11.5703125" style="6" bestFit="1" customWidth="1"/>
    <col min="8" max="16384" width="9.140625" style="6"/>
  </cols>
  <sheetData>
    <row r="1" spans="1:5">
      <c r="A1" s="8" t="s">
        <v>0</v>
      </c>
      <c r="B1" s="37"/>
      <c r="C1" s="37"/>
      <c r="D1" s="37"/>
      <c r="E1" s="85"/>
    </row>
    <row r="2" spans="1:5">
      <c r="A2" s="8" t="s">
        <v>214</v>
      </c>
      <c r="B2" s="37"/>
      <c r="C2" s="37"/>
      <c r="D2" s="37"/>
      <c r="E2" s="85"/>
    </row>
    <row r="3" spans="1:5">
      <c r="A3" s="8" t="s">
        <v>215</v>
      </c>
      <c r="B3" s="37"/>
      <c r="C3" s="37"/>
      <c r="D3" s="37"/>
      <c r="E3" s="85"/>
    </row>
    <row r="6" spans="1:5">
      <c r="A6" s="6" t="s">
        <v>216</v>
      </c>
    </row>
    <row r="7" spans="1:5">
      <c r="B7" s="6" t="s">
        <v>217</v>
      </c>
      <c r="E7" s="86">
        <v>20362771</v>
      </c>
    </row>
    <row r="8" spans="1:5">
      <c r="B8" s="6" t="s">
        <v>218</v>
      </c>
      <c r="E8" s="38">
        <v>24419516</v>
      </c>
    </row>
    <row r="9" spans="1:5">
      <c r="B9" s="6" t="s">
        <v>219</v>
      </c>
      <c r="E9" s="87">
        <f>E7-E8</f>
        <v>-4056745</v>
      </c>
    </row>
    <row r="11" spans="1:5">
      <c r="A11" s="6" t="s">
        <v>220</v>
      </c>
    </row>
    <row r="12" spans="1:5">
      <c r="B12" s="6" t="s">
        <v>221</v>
      </c>
      <c r="E12" s="38">
        <v>505945</v>
      </c>
    </row>
    <row r="13" spans="1:5">
      <c r="B13" s="6" t="s">
        <v>222</v>
      </c>
      <c r="E13" s="38">
        <v>514133</v>
      </c>
    </row>
    <row r="14" spans="1:5">
      <c r="C14" s="6" t="s">
        <v>223</v>
      </c>
      <c r="E14" s="87">
        <f>E13-E12</f>
        <v>8188</v>
      </c>
    </row>
    <row r="15" spans="1:5">
      <c r="B15" s="6" t="s">
        <v>224</v>
      </c>
      <c r="E15" s="88">
        <v>47.496000000000002</v>
      </c>
    </row>
    <row r="16" spans="1:5">
      <c r="C16" s="6" t="s">
        <v>225</v>
      </c>
      <c r="E16" s="87">
        <f>ROUND(E14*E15,0)</f>
        <v>388897</v>
      </c>
    </row>
    <row r="18" spans="1:5">
      <c r="A18" s="6" t="s">
        <v>26</v>
      </c>
    </row>
    <row r="19" spans="1:5">
      <c r="B19" s="6" t="s">
        <v>226</v>
      </c>
      <c r="E19" s="38">
        <f>E9</f>
        <v>-4056745</v>
      </c>
    </row>
    <row r="20" spans="1:5">
      <c r="B20" s="6" t="s">
        <v>227</v>
      </c>
      <c r="E20" s="38">
        <f>E16</f>
        <v>388897</v>
      </c>
    </row>
    <row r="21" spans="1:5">
      <c r="B21" s="6" t="s">
        <v>228</v>
      </c>
      <c r="E21" s="87">
        <f>SUM(E19:E20)</f>
        <v>-3667848</v>
      </c>
    </row>
    <row r="23" spans="1:5">
      <c r="A23" s="6" t="s">
        <v>229</v>
      </c>
    </row>
    <row r="24" spans="1:5">
      <c r="B24" s="6" t="s">
        <v>230</v>
      </c>
      <c r="E24" s="89">
        <v>2.7000000000000001E-3</v>
      </c>
    </row>
    <row r="25" spans="1:5">
      <c r="B25" s="6" t="s">
        <v>231</v>
      </c>
      <c r="E25" s="38">
        <f>ROUND(E21*E24*24,0)</f>
        <v>-237677</v>
      </c>
    </row>
    <row r="27" spans="1:5" ht="13.5" thickBot="1">
      <c r="A27" s="6" t="s">
        <v>232</v>
      </c>
      <c r="E27" s="90">
        <f>ROUND(E21+E25,0)</f>
        <v>-3905525</v>
      </c>
    </row>
    <row r="28" spans="1:5" ht="13.5" thickTop="1"/>
    <row r="30" spans="1:5">
      <c r="A30" s="39" t="s">
        <v>260</v>
      </c>
    </row>
  </sheetData>
  <printOptions horizontalCentered="1"/>
  <pageMargins left="0.17" right="0.2" top="1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20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</v>
      </c>
      <c r="B3" s="3"/>
      <c r="C3" s="3"/>
    </row>
    <row r="4" spans="1:3">
      <c r="A4" s="3" t="str">
        <f>'Cover Page'!A7</f>
        <v>Projected 2016</v>
      </c>
      <c r="B4" s="3"/>
      <c r="C4" s="3"/>
    </row>
    <row r="7" spans="1:3">
      <c r="C7" s="4" t="s">
        <v>16</v>
      </c>
    </row>
    <row r="8" spans="1:3" ht="15" customHeight="1">
      <c r="A8" s="9" t="s">
        <v>182</v>
      </c>
      <c r="C8" s="48">
        <v>554900</v>
      </c>
    </row>
    <row r="9" spans="1:3">
      <c r="A9" t="s">
        <v>4</v>
      </c>
      <c r="C9" s="48">
        <v>539200</v>
      </c>
    </row>
    <row r="10" spans="1:3">
      <c r="A10" t="s">
        <v>5</v>
      </c>
      <c r="C10" s="48">
        <v>503900</v>
      </c>
    </row>
    <row r="11" spans="1:3">
      <c r="A11" t="s">
        <v>6</v>
      </c>
      <c r="C11" s="48">
        <v>441900</v>
      </c>
    </row>
    <row r="12" spans="1:3">
      <c r="A12" t="s">
        <v>7</v>
      </c>
      <c r="C12" s="48">
        <v>464800</v>
      </c>
    </row>
    <row r="13" spans="1:3">
      <c r="A13" t="s">
        <v>8</v>
      </c>
      <c r="C13" s="48">
        <v>592300</v>
      </c>
    </row>
    <row r="14" spans="1:3">
      <c r="A14" t="s">
        <v>9</v>
      </c>
      <c r="C14" s="48">
        <v>642700</v>
      </c>
    </row>
    <row r="15" spans="1:3">
      <c r="A15" t="s">
        <v>10</v>
      </c>
      <c r="C15" s="48">
        <v>610300</v>
      </c>
    </row>
    <row r="16" spans="1:3">
      <c r="A16" t="s">
        <v>11</v>
      </c>
      <c r="C16" s="48">
        <v>516000</v>
      </c>
    </row>
    <row r="17" spans="1:3">
      <c r="A17" t="s">
        <v>12</v>
      </c>
      <c r="C17" s="48">
        <v>452900</v>
      </c>
    </row>
    <row r="18" spans="1:3">
      <c r="A18" t="s">
        <v>13</v>
      </c>
      <c r="C18" s="48">
        <v>548700</v>
      </c>
    </row>
    <row r="19" spans="1:3">
      <c r="A19" t="s">
        <v>14</v>
      </c>
      <c r="C19" s="48">
        <v>621000</v>
      </c>
    </row>
    <row r="20" spans="1:3" ht="13.5" thickBot="1">
      <c r="A20" t="s">
        <v>15</v>
      </c>
      <c r="C20" s="2">
        <f>ROUND(AVERAGE(C8:C19),0)</f>
        <v>540717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/>
  </sheetViews>
  <sheetFormatPr defaultRowHeight="12.75"/>
  <cols>
    <col min="1" max="1" width="15.7109375" style="24" customWidth="1"/>
    <col min="2" max="2" width="2.7109375" style="24" customWidth="1"/>
    <col min="3" max="3" width="12.7109375" style="24" customWidth="1"/>
    <col min="4" max="4" width="2.7109375" style="46" customWidth="1"/>
    <col min="5" max="5" width="12.7109375" style="24" customWidth="1"/>
    <col min="6" max="6" width="2.7109375" style="46" customWidth="1"/>
    <col min="7" max="7" width="12.7109375" style="24" customWidth="1"/>
    <col min="8" max="8" width="2.7109375" style="46" customWidth="1"/>
    <col min="9" max="9" width="12.7109375" style="24" customWidth="1"/>
    <col min="10" max="10" width="2.7109375" style="46" customWidth="1"/>
    <col min="11" max="11" width="12.7109375" style="24" customWidth="1"/>
    <col min="12" max="12" width="2.7109375" style="46" customWidth="1"/>
    <col min="13" max="13" width="14.42578125" style="24" bestFit="1" customWidth="1"/>
    <col min="14" max="16384" width="9.140625" style="24"/>
  </cols>
  <sheetData>
    <row r="1" spans="1:13">
      <c r="A1" s="23" t="s">
        <v>0</v>
      </c>
      <c r="B1" s="114"/>
      <c r="C1" s="114"/>
      <c r="D1" s="115"/>
      <c r="E1" s="114"/>
      <c r="F1" s="115"/>
      <c r="G1" s="114"/>
      <c r="H1" s="115"/>
      <c r="I1" s="114"/>
      <c r="J1" s="115"/>
      <c r="K1" s="114"/>
      <c r="L1" s="115"/>
      <c r="M1" s="114"/>
    </row>
    <row r="2" spans="1:13">
      <c r="A2" s="23" t="s">
        <v>2</v>
      </c>
      <c r="B2" s="114"/>
      <c r="C2" s="114"/>
      <c r="D2" s="115"/>
      <c r="E2" s="114"/>
      <c r="F2" s="115"/>
      <c r="G2" s="114"/>
      <c r="H2" s="115"/>
      <c r="I2" s="114"/>
      <c r="J2" s="115"/>
      <c r="K2" s="114"/>
      <c r="L2" s="115"/>
      <c r="M2" s="114"/>
    </row>
    <row r="3" spans="1:13">
      <c r="A3" s="23" t="s">
        <v>193</v>
      </c>
      <c r="B3" s="114"/>
      <c r="C3" s="114"/>
      <c r="D3" s="115"/>
      <c r="E3" s="114"/>
      <c r="F3" s="115"/>
      <c r="G3" s="114"/>
      <c r="H3" s="115"/>
      <c r="I3" s="114"/>
      <c r="J3" s="115"/>
      <c r="K3" s="114"/>
      <c r="L3" s="115"/>
      <c r="M3" s="114"/>
    </row>
    <row r="4" spans="1:13">
      <c r="A4" s="23" t="str">
        <f>'Cover Page'!A7</f>
        <v>Projected 2016</v>
      </c>
      <c r="B4" s="114"/>
      <c r="C4" s="114"/>
      <c r="D4" s="115"/>
      <c r="E4" s="114"/>
      <c r="F4" s="115"/>
      <c r="G4" s="114"/>
      <c r="H4" s="115"/>
      <c r="I4" s="114"/>
      <c r="J4" s="115"/>
      <c r="K4" s="114"/>
      <c r="L4" s="115"/>
      <c r="M4" s="114"/>
    </row>
    <row r="8" spans="1:13">
      <c r="A8" s="26" t="s">
        <v>27</v>
      </c>
      <c r="C8" s="116"/>
      <c r="D8" s="116"/>
      <c r="E8" s="116"/>
      <c r="F8" s="116"/>
      <c r="G8" s="116"/>
      <c r="H8" s="116"/>
      <c r="I8" s="116" t="s">
        <v>86</v>
      </c>
      <c r="J8" s="116"/>
      <c r="K8" s="116" t="s">
        <v>87</v>
      </c>
      <c r="L8" s="116"/>
      <c r="M8" s="116"/>
    </row>
    <row r="9" spans="1:13">
      <c r="A9" s="25" t="s">
        <v>40</v>
      </c>
      <c r="C9" s="117" t="s">
        <v>20</v>
      </c>
      <c r="D9" s="116"/>
      <c r="E9" s="117" t="s">
        <v>21</v>
      </c>
      <c r="F9" s="116"/>
      <c r="G9" s="117" t="s">
        <v>22</v>
      </c>
      <c r="H9" s="116"/>
      <c r="I9" s="117" t="s">
        <v>24</v>
      </c>
      <c r="J9" s="116"/>
      <c r="K9" s="117" t="s">
        <v>24</v>
      </c>
      <c r="L9" s="116"/>
      <c r="M9" s="117" t="s">
        <v>26</v>
      </c>
    </row>
    <row r="10" spans="1:13" ht="15" customHeight="1">
      <c r="A10" s="27" t="s">
        <v>183</v>
      </c>
      <c r="C10" s="72">
        <v>903850882</v>
      </c>
      <c r="D10" s="118"/>
      <c r="E10" s="72">
        <v>249678176</v>
      </c>
      <c r="F10" s="118"/>
      <c r="G10" s="72">
        <v>329421132</v>
      </c>
      <c r="H10" s="118"/>
      <c r="I10" s="72">
        <v>32765661</v>
      </c>
      <c r="J10" s="118"/>
      <c r="K10" s="72">
        <v>126183950</v>
      </c>
      <c r="L10" s="118"/>
      <c r="M10" s="72">
        <f t="shared" ref="M10:M23" si="0">SUM(C10:L10)</f>
        <v>1641899801</v>
      </c>
    </row>
    <row r="11" spans="1:13">
      <c r="A11" s="27" t="s">
        <v>184</v>
      </c>
      <c r="C11" s="48">
        <v>925220676</v>
      </c>
      <c r="D11" s="47"/>
      <c r="E11" s="48">
        <v>249776579</v>
      </c>
      <c r="F11" s="47"/>
      <c r="G11" s="48">
        <v>331374773</v>
      </c>
      <c r="H11" s="47"/>
      <c r="I11" s="48">
        <v>33045681</v>
      </c>
      <c r="J11" s="47"/>
      <c r="K11" s="48">
        <v>126585360</v>
      </c>
      <c r="L11" s="47"/>
      <c r="M11" s="48">
        <f t="shared" si="0"/>
        <v>1666003069</v>
      </c>
    </row>
    <row r="12" spans="1:13">
      <c r="A12" s="27" t="s">
        <v>4</v>
      </c>
      <c r="C12" s="48">
        <v>925437697</v>
      </c>
      <c r="D12" s="47"/>
      <c r="E12" s="48">
        <v>249846584</v>
      </c>
      <c r="F12" s="47"/>
      <c r="G12" s="48">
        <v>332926771</v>
      </c>
      <c r="H12" s="47"/>
      <c r="I12" s="48">
        <v>33333280</v>
      </c>
      <c r="J12" s="47"/>
      <c r="K12" s="48">
        <v>127008145</v>
      </c>
      <c r="L12" s="47"/>
      <c r="M12" s="48">
        <f t="shared" si="0"/>
        <v>1668552477</v>
      </c>
    </row>
    <row r="13" spans="1:13">
      <c r="A13" s="27" t="s">
        <v>5</v>
      </c>
      <c r="C13" s="48">
        <v>925807523</v>
      </c>
      <c r="D13" s="47"/>
      <c r="E13" s="48">
        <v>250001236</v>
      </c>
      <c r="F13" s="47"/>
      <c r="G13" s="48">
        <v>336022095</v>
      </c>
      <c r="H13" s="47"/>
      <c r="I13" s="48">
        <v>33896594</v>
      </c>
      <c r="J13" s="47"/>
      <c r="K13" s="48">
        <v>127642796</v>
      </c>
      <c r="L13" s="47"/>
      <c r="M13" s="48">
        <f t="shared" si="0"/>
        <v>1673370244</v>
      </c>
    </row>
    <row r="14" spans="1:13">
      <c r="A14" s="27" t="s">
        <v>6</v>
      </c>
      <c r="C14" s="48">
        <v>927427060</v>
      </c>
      <c r="D14" s="47"/>
      <c r="E14" s="48">
        <v>250156304</v>
      </c>
      <c r="F14" s="47"/>
      <c r="G14" s="48">
        <v>337502989</v>
      </c>
      <c r="H14" s="47"/>
      <c r="I14" s="48">
        <v>34219538</v>
      </c>
      <c r="J14" s="47"/>
      <c r="K14" s="48">
        <v>128128552</v>
      </c>
      <c r="L14" s="47"/>
      <c r="M14" s="48">
        <f t="shared" si="0"/>
        <v>1677434443</v>
      </c>
    </row>
    <row r="15" spans="1:13">
      <c r="A15" s="27" t="s">
        <v>7</v>
      </c>
      <c r="C15" s="48">
        <v>927744833</v>
      </c>
      <c r="D15" s="47"/>
      <c r="E15" s="48">
        <v>250483523</v>
      </c>
      <c r="F15" s="47"/>
      <c r="G15" s="48">
        <v>339089862</v>
      </c>
      <c r="H15" s="47"/>
      <c r="I15" s="48">
        <v>34509689</v>
      </c>
      <c r="J15" s="47"/>
      <c r="K15" s="48">
        <v>128590218</v>
      </c>
      <c r="L15" s="47"/>
      <c r="M15" s="48">
        <f t="shared" si="0"/>
        <v>1680418125</v>
      </c>
    </row>
    <row r="16" spans="1:13">
      <c r="A16" s="27" t="s">
        <v>8</v>
      </c>
      <c r="C16" s="48">
        <v>937437379</v>
      </c>
      <c r="D16" s="47"/>
      <c r="E16" s="48">
        <v>255635800</v>
      </c>
      <c r="F16" s="47"/>
      <c r="G16" s="48">
        <v>341428065</v>
      </c>
      <c r="H16" s="47"/>
      <c r="I16" s="48">
        <v>34784530</v>
      </c>
      <c r="J16" s="47"/>
      <c r="K16" s="48">
        <v>129249504</v>
      </c>
      <c r="L16" s="47"/>
      <c r="M16" s="48">
        <f t="shared" si="0"/>
        <v>1698535278</v>
      </c>
    </row>
    <row r="17" spans="1:13">
      <c r="A17" s="27" t="s">
        <v>9</v>
      </c>
      <c r="C17" s="48">
        <v>941632291</v>
      </c>
      <c r="D17" s="47"/>
      <c r="E17" s="48">
        <v>256990457</v>
      </c>
      <c r="F17" s="47"/>
      <c r="G17" s="48">
        <v>344829137</v>
      </c>
      <c r="H17" s="47"/>
      <c r="I17" s="48">
        <v>35069120</v>
      </c>
      <c r="J17" s="47"/>
      <c r="K17" s="48">
        <v>129840344</v>
      </c>
      <c r="L17" s="47"/>
      <c r="M17" s="48">
        <f t="shared" si="0"/>
        <v>1708361349</v>
      </c>
    </row>
    <row r="18" spans="1:13">
      <c r="A18" s="27" t="s">
        <v>10</v>
      </c>
      <c r="C18" s="48">
        <v>942637034</v>
      </c>
      <c r="D18" s="47"/>
      <c r="E18" s="48">
        <v>258957640</v>
      </c>
      <c r="F18" s="47"/>
      <c r="G18" s="48">
        <v>347435365</v>
      </c>
      <c r="H18" s="47"/>
      <c r="I18" s="48">
        <v>35383872</v>
      </c>
      <c r="J18" s="47"/>
      <c r="K18" s="48">
        <v>130292123</v>
      </c>
      <c r="L18" s="47"/>
      <c r="M18" s="48">
        <f t="shared" si="0"/>
        <v>1714706034</v>
      </c>
    </row>
    <row r="19" spans="1:13">
      <c r="A19" s="27" t="s">
        <v>11</v>
      </c>
      <c r="C19" s="48">
        <v>943529767</v>
      </c>
      <c r="D19" s="47"/>
      <c r="E19" s="48">
        <v>259834948</v>
      </c>
      <c r="F19" s="47"/>
      <c r="G19" s="48">
        <v>350112960</v>
      </c>
      <c r="H19" s="47"/>
      <c r="I19" s="48">
        <v>35668424</v>
      </c>
      <c r="J19" s="47"/>
      <c r="K19" s="48">
        <v>130768136</v>
      </c>
      <c r="L19" s="47"/>
      <c r="M19" s="48">
        <f t="shared" si="0"/>
        <v>1719914235</v>
      </c>
    </row>
    <row r="20" spans="1:13">
      <c r="A20" s="27" t="s">
        <v>12</v>
      </c>
      <c r="C20" s="48">
        <v>944549026</v>
      </c>
      <c r="D20" s="47"/>
      <c r="E20" s="48">
        <v>267003720</v>
      </c>
      <c r="F20" s="47"/>
      <c r="G20" s="48">
        <v>352668474</v>
      </c>
      <c r="H20" s="47"/>
      <c r="I20" s="48">
        <v>35944288</v>
      </c>
      <c r="J20" s="47"/>
      <c r="K20" s="48">
        <v>131094846</v>
      </c>
      <c r="L20" s="47"/>
      <c r="M20" s="48">
        <f t="shared" si="0"/>
        <v>1731260354</v>
      </c>
    </row>
    <row r="21" spans="1:13">
      <c r="A21" s="27" t="s">
        <v>13</v>
      </c>
      <c r="C21" s="48">
        <v>945372583</v>
      </c>
      <c r="D21" s="47"/>
      <c r="E21" s="48">
        <v>268776843</v>
      </c>
      <c r="F21" s="47"/>
      <c r="G21" s="48">
        <v>355680719</v>
      </c>
      <c r="H21" s="47"/>
      <c r="I21" s="48">
        <v>36219602</v>
      </c>
      <c r="J21" s="47"/>
      <c r="K21" s="48">
        <v>131285842</v>
      </c>
      <c r="L21" s="47"/>
      <c r="M21" s="48">
        <f t="shared" si="0"/>
        <v>1737335589</v>
      </c>
    </row>
    <row r="22" spans="1:13">
      <c r="A22" s="27" t="s">
        <v>14</v>
      </c>
      <c r="C22" s="48">
        <v>948322763</v>
      </c>
      <c r="D22" s="47"/>
      <c r="E22" s="48">
        <v>309739536</v>
      </c>
      <c r="F22" s="47"/>
      <c r="G22" s="48">
        <v>364494239</v>
      </c>
      <c r="H22" s="47"/>
      <c r="I22" s="48">
        <v>37851074</v>
      </c>
      <c r="J22" s="47"/>
      <c r="K22" s="48">
        <v>134617567</v>
      </c>
      <c r="L22" s="47"/>
      <c r="M22" s="48">
        <f t="shared" si="0"/>
        <v>1795025179</v>
      </c>
    </row>
    <row r="23" spans="1:13" ht="13.5" thickBot="1">
      <c r="A23" s="28" t="s">
        <v>19</v>
      </c>
      <c r="C23" s="119">
        <f>ROUND(AVERAGE(C10:C22),0)</f>
        <v>933766886</v>
      </c>
      <c r="D23" s="47"/>
      <c r="E23" s="119">
        <f>ROUND(AVERAGE(E10:E22),0)</f>
        <v>259760104</v>
      </c>
      <c r="F23" s="47"/>
      <c r="G23" s="119">
        <f>ROUND(AVERAGE(G10:G22),0)</f>
        <v>343306660</v>
      </c>
      <c r="H23" s="47"/>
      <c r="I23" s="119">
        <f>ROUND(AVERAGE(I10:I22),0)</f>
        <v>34822412</v>
      </c>
      <c r="J23" s="47"/>
      <c r="K23" s="119">
        <f>ROUND(AVERAGE(K10:K22),0)</f>
        <v>129329799</v>
      </c>
      <c r="L23" s="47"/>
      <c r="M23" s="119">
        <f t="shared" si="0"/>
        <v>1700985861</v>
      </c>
    </row>
    <row r="24" spans="1:13" ht="13.5" thickTop="1">
      <c r="A24" s="28"/>
    </row>
    <row r="25" spans="1:13">
      <c r="A25" s="28"/>
    </row>
    <row r="26" spans="1:13">
      <c r="I26" s="120" t="s">
        <v>163</v>
      </c>
      <c r="J26" s="120"/>
      <c r="K26" s="120"/>
      <c r="L26" s="120"/>
      <c r="M26" s="120"/>
    </row>
    <row r="27" spans="1:13">
      <c r="A27" s="26" t="s">
        <v>27</v>
      </c>
      <c r="D27" s="24"/>
      <c r="E27" s="116" t="s">
        <v>23</v>
      </c>
      <c r="G27" s="116" t="s">
        <v>26</v>
      </c>
      <c r="I27" s="116" t="s">
        <v>25</v>
      </c>
      <c r="K27" s="116" t="s">
        <v>25</v>
      </c>
      <c r="M27" s="116" t="s">
        <v>26</v>
      </c>
    </row>
    <row r="28" spans="1:13">
      <c r="A28" s="25" t="s">
        <v>40</v>
      </c>
      <c r="C28" s="117" t="s">
        <v>23</v>
      </c>
      <c r="D28" s="24"/>
      <c r="E28" s="117" t="s">
        <v>24</v>
      </c>
      <c r="G28" s="117" t="s">
        <v>23</v>
      </c>
      <c r="I28" s="117" t="s">
        <v>23</v>
      </c>
      <c r="K28" s="117" t="s">
        <v>24</v>
      </c>
      <c r="M28" s="117" t="s">
        <v>25</v>
      </c>
    </row>
    <row r="29" spans="1:13">
      <c r="A29" s="27" t="str">
        <f t="shared" ref="A29:A41" si="1">A10</f>
        <v>December 2015</v>
      </c>
      <c r="C29" s="48">
        <v>28933059</v>
      </c>
      <c r="D29" s="24"/>
      <c r="E29" s="48">
        <v>3832602</v>
      </c>
      <c r="F29" s="47"/>
      <c r="G29" s="48">
        <f>SUM(C29:E29)</f>
        <v>32765661</v>
      </c>
      <c r="I29" s="48">
        <v>45187401</v>
      </c>
      <c r="J29" s="47"/>
      <c r="K29" s="48">
        <v>21401544</v>
      </c>
      <c r="L29" s="47"/>
      <c r="M29" s="48">
        <f>SUM(I29:K29)</f>
        <v>66588945</v>
      </c>
    </row>
    <row r="30" spans="1:13">
      <c r="A30" s="27" t="str">
        <f t="shared" si="1"/>
        <v>January 2016</v>
      </c>
      <c r="C30" s="48">
        <v>29213079</v>
      </c>
      <c r="D30" s="24"/>
      <c r="E30" s="48">
        <v>3832602</v>
      </c>
      <c r="F30" s="47"/>
      <c r="G30" s="48">
        <f t="shared" ref="G30:G41" si="2">SUM(C30:E30)</f>
        <v>33045681</v>
      </c>
      <c r="I30" s="48">
        <v>45273028</v>
      </c>
      <c r="J30" s="47"/>
      <c r="K30" s="48">
        <v>21494972</v>
      </c>
      <c r="L30" s="47"/>
      <c r="M30" s="48">
        <f t="shared" ref="M30:M41" si="3">SUM(I30:K30)</f>
        <v>66768000</v>
      </c>
    </row>
    <row r="31" spans="1:13">
      <c r="A31" s="27" t="str">
        <f t="shared" si="1"/>
        <v>February</v>
      </c>
      <c r="C31" s="48">
        <v>29500678</v>
      </c>
      <c r="D31" s="24"/>
      <c r="E31" s="48">
        <v>3832602</v>
      </c>
      <c r="F31" s="47"/>
      <c r="G31" s="48">
        <f t="shared" si="2"/>
        <v>33333280</v>
      </c>
      <c r="I31" s="48">
        <v>45370437</v>
      </c>
      <c r="J31" s="47"/>
      <c r="K31" s="48">
        <v>21588400</v>
      </c>
      <c r="L31" s="47"/>
      <c r="M31" s="48">
        <f t="shared" si="3"/>
        <v>66958837</v>
      </c>
    </row>
    <row r="32" spans="1:13">
      <c r="A32" s="27" t="str">
        <f t="shared" si="1"/>
        <v>March</v>
      </c>
      <c r="C32" s="48">
        <v>29786529</v>
      </c>
      <c r="D32" s="24"/>
      <c r="E32" s="48">
        <v>4110065</v>
      </c>
      <c r="F32" s="47"/>
      <c r="G32" s="48">
        <f t="shared" si="2"/>
        <v>33896594</v>
      </c>
      <c r="I32" s="48">
        <v>45587709</v>
      </c>
      <c r="J32" s="47"/>
      <c r="K32" s="48">
        <v>21681828</v>
      </c>
      <c r="L32" s="47"/>
      <c r="M32" s="48">
        <f t="shared" si="3"/>
        <v>67269537</v>
      </c>
    </row>
    <row r="33" spans="1:13">
      <c r="A33" s="27" t="str">
        <f t="shared" si="1"/>
        <v>April</v>
      </c>
      <c r="C33" s="48">
        <v>30068585</v>
      </c>
      <c r="D33" s="24"/>
      <c r="E33" s="48">
        <v>4150953</v>
      </c>
      <c r="F33" s="47"/>
      <c r="G33" s="48">
        <f t="shared" si="2"/>
        <v>34219538</v>
      </c>
      <c r="I33" s="48">
        <v>45722898</v>
      </c>
      <c r="J33" s="47"/>
      <c r="K33" s="48">
        <v>21775546</v>
      </c>
      <c r="L33" s="47"/>
      <c r="M33" s="48">
        <f t="shared" si="3"/>
        <v>67498444</v>
      </c>
    </row>
    <row r="34" spans="1:13">
      <c r="A34" s="27" t="str">
        <f t="shared" si="1"/>
        <v>May</v>
      </c>
      <c r="C34" s="48">
        <v>30358736</v>
      </c>
      <c r="D34" s="24"/>
      <c r="E34" s="48">
        <v>4150953</v>
      </c>
      <c r="F34" s="47"/>
      <c r="G34" s="48">
        <f t="shared" si="2"/>
        <v>34509689</v>
      </c>
      <c r="I34" s="48">
        <v>45843555</v>
      </c>
      <c r="J34" s="47"/>
      <c r="K34" s="48">
        <v>21869264</v>
      </c>
      <c r="L34" s="47"/>
      <c r="M34" s="48">
        <f t="shared" si="3"/>
        <v>67712819</v>
      </c>
    </row>
    <row r="35" spans="1:13">
      <c r="A35" s="27" t="str">
        <f t="shared" si="1"/>
        <v>June</v>
      </c>
      <c r="C35" s="48">
        <v>30633577</v>
      </c>
      <c r="D35" s="24"/>
      <c r="E35" s="48">
        <v>4150953</v>
      </c>
      <c r="F35" s="47"/>
      <c r="G35" s="48">
        <f t="shared" si="2"/>
        <v>34784530</v>
      </c>
      <c r="I35" s="48">
        <v>46071876</v>
      </c>
      <c r="J35" s="47"/>
      <c r="K35" s="48">
        <v>21962981</v>
      </c>
      <c r="L35" s="47"/>
      <c r="M35" s="48">
        <f t="shared" si="3"/>
        <v>68034857</v>
      </c>
    </row>
    <row r="36" spans="1:13">
      <c r="A36" s="27" t="str">
        <f t="shared" si="1"/>
        <v>July</v>
      </c>
      <c r="C36" s="48">
        <v>30918167</v>
      </c>
      <c r="D36" s="24"/>
      <c r="E36" s="48">
        <v>4150953</v>
      </c>
      <c r="F36" s="47"/>
      <c r="G36" s="48">
        <f t="shared" si="2"/>
        <v>35069120</v>
      </c>
      <c r="I36" s="48">
        <v>46287755</v>
      </c>
      <c r="J36" s="47"/>
      <c r="K36" s="48">
        <v>22056700</v>
      </c>
      <c r="L36" s="47"/>
      <c r="M36" s="48">
        <f t="shared" si="3"/>
        <v>68344455</v>
      </c>
    </row>
    <row r="37" spans="1:13">
      <c r="A37" s="27" t="str">
        <f t="shared" si="1"/>
        <v>August</v>
      </c>
      <c r="C37" s="48">
        <v>31232919</v>
      </c>
      <c r="D37" s="24"/>
      <c r="E37" s="48">
        <v>4150953</v>
      </c>
      <c r="F37" s="47"/>
      <c r="G37" s="48">
        <f t="shared" si="2"/>
        <v>35383872</v>
      </c>
      <c r="I37" s="48">
        <f>46415625</f>
        <v>46415625</v>
      </c>
      <c r="J37" s="47"/>
      <c r="K37" s="48">
        <v>22137176</v>
      </c>
      <c r="L37" s="47"/>
      <c r="M37" s="48">
        <f t="shared" si="3"/>
        <v>68552801</v>
      </c>
    </row>
    <row r="38" spans="1:13">
      <c r="A38" s="27" t="str">
        <f t="shared" si="1"/>
        <v>September</v>
      </c>
      <c r="C38" s="48">
        <v>31517471</v>
      </c>
      <c r="D38" s="24"/>
      <c r="E38" s="48">
        <v>4150953</v>
      </c>
      <c r="F38" s="47"/>
      <c r="G38" s="48">
        <f t="shared" si="2"/>
        <v>35668424</v>
      </c>
      <c r="I38" s="48">
        <v>46690529</v>
      </c>
      <c r="J38" s="47"/>
      <c r="K38" s="48">
        <v>22158291</v>
      </c>
      <c r="L38" s="47"/>
      <c r="M38" s="48">
        <f t="shared" si="3"/>
        <v>68848820</v>
      </c>
    </row>
    <row r="39" spans="1:13">
      <c r="A39" s="27" t="str">
        <f t="shared" si="1"/>
        <v>October</v>
      </c>
      <c r="C39" s="48">
        <v>31793335</v>
      </c>
      <c r="D39" s="24"/>
      <c r="E39" s="48">
        <v>4150953</v>
      </c>
      <c r="F39" s="47"/>
      <c r="G39" s="48">
        <f t="shared" si="2"/>
        <v>35944288</v>
      </c>
      <c r="I39" s="48">
        <v>46850661</v>
      </c>
      <c r="J39" s="47"/>
      <c r="K39" s="48">
        <v>22179406</v>
      </c>
      <c r="L39" s="47"/>
      <c r="M39" s="48">
        <f t="shared" si="3"/>
        <v>69030067</v>
      </c>
    </row>
    <row r="40" spans="1:13">
      <c r="A40" s="27" t="str">
        <f t="shared" si="1"/>
        <v>November</v>
      </c>
      <c r="C40" s="48">
        <v>32068649</v>
      </c>
      <c r="D40" s="24"/>
      <c r="E40" s="48">
        <v>4150953</v>
      </c>
      <c r="F40" s="47"/>
      <c r="G40" s="48">
        <f t="shared" si="2"/>
        <v>36219602</v>
      </c>
      <c r="I40" s="48">
        <v>46936933</v>
      </c>
      <c r="J40" s="47"/>
      <c r="K40" s="48">
        <v>22200521</v>
      </c>
      <c r="L40" s="47"/>
      <c r="M40" s="48">
        <f t="shared" si="3"/>
        <v>69137454</v>
      </c>
    </row>
    <row r="41" spans="1:13">
      <c r="A41" s="27" t="str">
        <f t="shared" si="1"/>
        <v>December</v>
      </c>
      <c r="C41" s="48">
        <v>33700121</v>
      </c>
      <c r="D41" s="24"/>
      <c r="E41" s="48">
        <v>4150953</v>
      </c>
      <c r="F41" s="47"/>
      <c r="G41" s="48">
        <f t="shared" si="2"/>
        <v>37851074</v>
      </c>
      <c r="I41" s="48">
        <v>47026888</v>
      </c>
      <c r="J41" s="47"/>
      <c r="K41" s="48">
        <v>23990085</v>
      </c>
      <c r="L41" s="47"/>
      <c r="M41" s="48">
        <f t="shared" si="3"/>
        <v>71016973</v>
      </c>
    </row>
    <row r="44" spans="1:13">
      <c r="C44" s="120" t="s">
        <v>162</v>
      </c>
      <c r="D44" s="120"/>
      <c r="E44" s="120"/>
      <c r="F44" s="120"/>
      <c r="G44" s="120"/>
      <c r="I44" s="120" t="s">
        <v>161</v>
      </c>
      <c r="J44" s="120"/>
      <c r="K44" s="120"/>
      <c r="L44" s="120"/>
      <c r="M44" s="120"/>
    </row>
    <row r="45" spans="1:13">
      <c r="A45" s="26"/>
      <c r="C45" s="116" t="s">
        <v>25</v>
      </c>
      <c r="E45" s="116" t="s">
        <v>25</v>
      </c>
      <c r="G45" s="116" t="s">
        <v>26</v>
      </c>
      <c r="I45" s="116" t="s">
        <v>25</v>
      </c>
      <c r="K45" s="116" t="s">
        <v>25</v>
      </c>
      <c r="M45" s="116" t="s">
        <v>26</v>
      </c>
    </row>
    <row r="46" spans="1:13">
      <c r="A46" s="25" t="s">
        <v>160</v>
      </c>
      <c r="C46" s="117" t="s">
        <v>23</v>
      </c>
      <c r="E46" s="117" t="s">
        <v>24</v>
      </c>
      <c r="G46" s="117" t="s">
        <v>23</v>
      </c>
      <c r="I46" s="117" t="s">
        <v>23</v>
      </c>
      <c r="K46" s="117" t="s">
        <v>24</v>
      </c>
      <c r="M46" s="117" t="s">
        <v>25</v>
      </c>
    </row>
    <row r="47" spans="1:13">
      <c r="A47" s="27" t="str">
        <f>A29</f>
        <v>December 2015</v>
      </c>
      <c r="C47" s="48">
        <v>29166890</v>
      </c>
      <c r="D47" s="24"/>
      <c r="E47" s="48">
        <v>28642876</v>
      </c>
      <c r="F47" s="47"/>
      <c r="G47" s="48">
        <f>SUM(C47:E47)</f>
        <v>57809766</v>
      </c>
      <c r="I47" s="48">
        <v>1107547</v>
      </c>
      <c r="J47" s="47"/>
      <c r="K47" s="48">
        <v>677692</v>
      </c>
      <c r="L47" s="47"/>
      <c r="M47" s="48">
        <f>SUM(I47:K47)</f>
        <v>1785239</v>
      </c>
    </row>
    <row r="48" spans="1:13">
      <c r="A48" s="27" t="str">
        <f t="shared" ref="A48:A59" si="4">A30</f>
        <v>January 2016</v>
      </c>
      <c r="C48" s="48">
        <v>29226671</v>
      </c>
      <c r="D48" s="24"/>
      <c r="E48" s="48">
        <v>28796728</v>
      </c>
      <c r="F48" s="47"/>
      <c r="G48" s="48">
        <f t="shared" ref="G48:G59" si="5">SUM(C48:E48)</f>
        <v>58023399</v>
      </c>
      <c r="I48" s="48">
        <v>1113848</v>
      </c>
      <c r="J48" s="47"/>
      <c r="K48" s="48">
        <v>680113</v>
      </c>
      <c r="L48" s="47"/>
      <c r="M48" s="48">
        <f t="shared" ref="M48:M59" si="6">SUM(I48:K48)</f>
        <v>1793961</v>
      </c>
    </row>
    <row r="49" spans="1:13">
      <c r="A49" s="27" t="str">
        <f t="shared" si="4"/>
        <v>February</v>
      </c>
      <c r="C49" s="48">
        <v>29295495</v>
      </c>
      <c r="D49" s="24"/>
      <c r="E49" s="48">
        <v>28950581</v>
      </c>
      <c r="F49" s="47"/>
      <c r="G49" s="48">
        <f t="shared" si="5"/>
        <v>58246076</v>
      </c>
      <c r="I49" s="48">
        <v>1120697</v>
      </c>
      <c r="J49" s="47"/>
      <c r="K49" s="48">
        <v>682535</v>
      </c>
      <c r="L49" s="47"/>
      <c r="M49" s="48">
        <f t="shared" si="6"/>
        <v>1803232</v>
      </c>
    </row>
    <row r="50" spans="1:13">
      <c r="A50" s="27" t="str">
        <f t="shared" si="4"/>
        <v>March</v>
      </c>
      <c r="C50" s="48">
        <v>29447185</v>
      </c>
      <c r="D50" s="24"/>
      <c r="E50" s="48">
        <v>29104433</v>
      </c>
      <c r="F50" s="47"/>
      <c r="G50" s="48">
        <f t="shared" si="5"/>
        <v>58551618</v>
      </c>
      <c r="I50" s="48">
        <v>1136685</v>
      </c>
      <c r="J50" s="47"/>
      <c r="K50" s="48">
        <v>684956</v>
      </c>
      <c r="L50" s="47"/>
      <c r="M50" s="48">
        <f t="shared" si="6"/>
        <v>1821641</v>
      </c>
    </row>
    <row r="51" spans="1:13">
      <c r="A51" s="27" t="str">
        <f t="shared" si="4"/>
        <v>April</v>
      </c>
      <c r="C51" s="48">
        <v>29538522</v>
      </c>
      <c r="D51" s="24"/>
      <c r="E51" s="48">
        <v>29258912</v>
      </c>
      <c r="F51" s="47"/>
      <c r="G51" s="48">
        <f t="shared" si="5"/>
        <v>58797434</v>
      </c>
      <c r="I51" s="48">
        <v>1145297</v>
      </c>
      <c r="J51" s="47"/>
      <c r="K51" s="48">
        <v>687377</v>
      </c>
      <c r="L51" s="47"/>
      <c r="M51" s="48">
        <f t="shared" si="6"/>
        <v>1832674</v>
      </c>
    </row>
    <row r="52" spans="1:13">
      <c r="A52" s="27" t="str">
        <f t="shared" si="4"/>
        <v>May</v>
      </c>
      <c r="C52" s="48">
        <v>29620914</v>
      </c>
      <c r="D52" s="24"/>
      <c r="E52" s="48">
        <v>29413392</v>
      </c>
      <c r="F52" s="47"/>
      <c r="G52" s="48">
        <f t="shared" si="5"/>
        <v>59034306</v>
      </c>
      <c r="I52" s="48">
        <v>1153294</v>
      </c>
      <c r="J52" s="47"/>
      <c r="K52" s="48">
        <v>689799</v>
      </c>
      <c r="L52" s="47"/>
      <c r="M52" s="48">
        <f t="shared" si="6"/>
        <v>1843093</v>
      </c>
    </row>
    <row r="53" spans="1:13">
      <c r="A53" s="27" t="str">
        <f t="shared" si="4"/>
        <v>June</v>
      </c>
      <c r="C53" s="48">
        <v>29790312</v>
      </c>
      <c r="D53" s="24"/>
      <c r="E53" s="48">
        <v>29567872</v>
      </c>
      <c r="F53" s="47"/>
      <c r="G53" s="48">
        <f t="shared" si="5"/>
        <v>59358184</v>
      </c>
      <c r="I53" s="48">
        <v>1164243</v>
      </c>
      <c r="J53" s="47"/>
      <c r="K53" s="48">
        <v>692220</v>
      </c>
      <c r="L53" s="47"/>
      <c r="M53" s="48">
        <f t="shared" si="6"/>
        <v>1856463</v>
      </c>
    </row>
    <row r="54" spans="1:13">
      <c r="A54" s="27" t="str">
        <f t="shared" si="4"/>
        <v>July</v>
      </c>
      <c r="C54" s="48">
        <v>29907080</v>
      </c>
      <c r="D54" s="24"/>
      <c r="E54" s="48">
        <v>29722351</v>
      </c>
      <c r="F54" s="47"/>
      <c r="G54" s="48">
        <f t="shared" si="5"/>
        <v>59629431</v>
      </c>
      <c r="I54" s="48">
        <v>1171816</v>
      </c>
      <c r="J54" s="47"/>
      <c r="K54" s="48">
        <v>694642</v>
      </c>
      <c r="L54" s="47"/>
      <c r="M54" s="48">
        <f t="shared" si="6"/>
        <v>1866458</v>
      </c>
    </row>
    <row r="55" spans="1:13">
      <c r="A55" s="27" t="str">
        <f t="shared" si="4"/>
        <v>August</v>
      </c>
      <c r="C55" s="48">
        <v>29994934</v>
      </c>
      <c r="D55" s="24"/>
      <c r="E55" s="48">
        <v>29867586</v>
      </c>
      <c r="F55" s="47"/>
      <c r="G55" s="48">
        <f t="shared" si="5"/>
        <v>59862520</v>
      </c>
      <c r="I55" s="48">
        <v>1180713</v>
      </c>
      <c r="J55" s="47"/>
      <c r="K55" s="48">
        <v>696089</v>
      </c>
      <c r="L55" s="47"/>
      <c r="M55" s="48">
        <f t="shared" si="6"/>
        <v>1876802</v>
      </c>
    </row>
    <row r="56" spans="1:13">
      <c r="A56" s="27" t="str">
        <f t="shared" si="4"/>
        <v>September</v>
      </c>
      <c r="C56" s="48">
        <v>30146392</v>
      </c>
      <c r="D56" s="24"/>
      <c r="E56" s="48">
        <v>29884451</v>
      </c>
      <c r="F56" s="47"/>
      <c r="G56" s="48">
        <f t="shared" si="5"/>
        <v>60030843</v>
      </c>
      <c r="I56" s="48">
        <v>1190937</v>
      </c>
      <c r="J56" s="47"/>
      <c r="K56" s="48">
        <v>697536</v>
      </c>
      <c r="L56" s="47"/>
      <c r="M56" s="48">
        <f t="shared" si="6"/>
        <v>1888473</v>
      </c>
    </row>
    <row r="57" spans="1:13">
      <c r="A57" s="27" t="str">
        <f t="shared" si="4"/>
        <v>October</v>
      </c>
      <c r="C57" s="48">
        <v>30265953</v>
      </c>
      <c r="D57" s="24"/>
      <c r="E57" s="48">
        <v>29901316</v>
      </c>
      <c r="F57" s="47"/>
      <c r="G57" s="48">
        <f t="shared" si="5"/>
        <v>60167269</v>
      </c>
      <c r="I57" s="48">
        <v>1198527</v>
      </c>
      <c r="J57" s="47"/>
      <c r="K57" s="48">
        <v>698983</v>
      </c>
      <c r="L57" s="47"/>
      <c r="M57" s="48">
        <f t="shared" si="6"/>
        <v>1897510</v>
      </c>
    </row>
    <row r="58" spans="1:13">
      <c r="A58" s="27" t="str">
        <f t="shared" si="4"/>
        <v>November</v>
      </c>
      <c r="C58" s="48">
        <v>30325194</v>
      </c>
      <c r="D58" s="24"/>
      <c r="E58" s="48">
        <v>29918182</v>
      </c>
      <c r="F58" s="47"/>
      <c r="G58" s="48">
        <f t="shared" si="5"/>
        <v>60243376</v>
      </c>
      <c r="I58" s="48">
        <v>1204582</v>
      </c>
      <c r="J58" s="47"/>
      <c r="K58" s="48">
        <v>700430</v>
      </c>
      <c r="L58" s="47"/>
      <c r="M58" s="48">
        <f t="shared" si="6"/>
        <v>1905012</v>
      </c>
    </row>
    <row r="59" spans="1:13">
      <c r="A59" s="27" t="str">
        <f t="shared" si="4"/>
        <v>December</v>
      </c>
      <c r="C59" s="48">
        <v>30387740</v>
      </c>
      <c r="D59" s="24"/>
      <c r="E59" s="48">
        <v>31169705</v>
      </c>
      <c r="F59" s="47"/>
      <c r="G59" s="48">
        <f t="shared" si="5"/>
        <v>61557445</v>
      </c>
      <c r="I59" s="48">
        <v>1211140</v>
      </c>
      <c r="J59" s="47"/>
      <c r="K59" s="48">
        <v>832009</v>
      </c>
      <c r="L59" s="47"/>
      <c r="M59" s="48">
        <f t="shared" si="6"/>
        <v>2043149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/>
  </sheetViews>
  <sheetFormatPr defaultRowHeight="12.75"/>
  <cols>
    <col min="1" max="1" width="15.7109375" style="24" customWidth="1"/>
    <col min="2" max="2" width="2.7109375" style="24" customWidth="1"/>
    <col min="3" max="3" width="12.7109375" style="24" customWidth="1"/>
    <col min="4" max="4" width="2.7109375" style="46" customWidth="1"/>
    <col min="5" max="5" width="12.7109375" style="24" customWidth="1"/>
    <col min="6" max="6" width="2.7109375" style="46" customWidth="1"/>
    <col min="7" max="7" width="12.7109375" style="24" customWidth="1"/>
    <col min="8" max="8" width="2.7109375" style="46" customWidth="1"/>
    <col min="9" max="9" width="12.7109375" style="24" customWidth="1"/>
    <col min="10" max="10" width="2.7109375" style="46" customWidth="1"/>
    <col min="11" max="11" width="12.7109375" style="24" customWidth="1"/>
    <col min="12" max="12" width="2.7109375" style="46" customWidth="1"/>
    <col min="13" max="13" width="12.7109375" style="24" customWidth="1"/>
    <col min="14" max="16384" width="9.140625" style="24"/>
  </cols>
  <sheetData>
    <row r="1" spans="1:13">
      <c r="A1" s="23" t="s">
        <v>0</v>
      </c>
      <c r="B1" s="114"/>
      <c r="C1" s="114"/>
      <c r="D1" s="115"/>
      <c r="E1" s="114"/>
      <c r="F1" s="115"/>
      <c r="G1" s="114"/>
      <c r="H1" s="115"/>
      <c r="I1" s="114"/>
      <c r="J1" s="115"/>
      <c r="K1" s="114"/>
      <c r="L1" s="115"/>
      <c r="M1" s="114"/>
    </row>
    <row r="2" spans="1:13">
      <c r="A2" s="23" t="s">
        <v>2</v>
      </c>
      <c r="B2" s="114"/>
      <c r="C2" s="114"/>
      <c r="D2" s="115"/>
      <c r="E2" s="114"/>
      <c r="F2" s="115"/>
      <c r="G2" s="114"/>
      <c r="H2" s="115"/>
      <c r="I2" s="114"/>
      <c r="J2" s="115"/>
      <c r="K2" s="114"/>
      <c r="L2" s="115"/>
      <c r="M2" s="114"/>
    </row>
    <row r="3" spans="1:13">
      <c r="A3" s="23" t="s">
        <v>194</v>
      </c>
      <c r="B3" s="114"/>
      <c r="C3" s="114"/>
      <c r="D3" s="115"/>
      <c r="E3" s="114"/>
      <c r="F3" s="115"/>
      <c r="G3" s="114"/>
      <c r="H3" s="115"/>
      <c r="I3" s="114"/>
      <c r="J3" s="115"/>
      <c r="K3" s="114"/>
      <c r="L3" s="115"/>
      <c r="M3" s="114"/>
    </row>
    <row r="4" spans="1:13">
      <c r="A4" s="23" t="str">
        <f>'Cover Page'!A7</f>
        <v>Projected 2016</v>
      </c>
      <c r="B4" s="114"/>
      <c r="C4" s="114"/>
      <c r="D4" s="115"/>
      <c r="E4" s="114"/>
      <c r="F4" s="115"/>
      <c r="G4" s="114"/>
      <c r="H4" s="115"/>
      <c r="I4" s="114"/>
      <c r="J4" s="115"/>
      <c r="K4" s="114"/>
      <c r="L4" s="115"/>
      <c r="M4" s="114"/>
    </row>
    <row r="8" spans="1:13">
      <c r="A8" s="26" t="s">
        <v>27</v>
      </c>
      <c r="C8" s="116"/>
      <c r="D8" s="116"/>
      <c r="E8" s="116"/>
      <c r="F8" s="116"/>
      <c r="G8" s="116"/>
      <c r="H8" s="116"/>
      <c r="I8" s="116" t="s">
        <v>86</v>
      </c>
      <c r="J8" s="116"/>
      <c r="K8" s="116" t="s">
        <v>87</v>
      </c>
      <c r="L8" s="116"/>
      <c r="M8" s="116"/>
    </row>
    <row r="9" spans="1:13">
      <c r="A9" s="25" t="s">
        <v>40</v>
      </c>
      <c r="C9" s="117" t="s">
        <v>20</v>
      </c>
      <c r="D9" s="116"/>
      <c r="E9" s="117" t="s">
        <v>21</v>
      </c>
      <c r="F9" s="116"/>
      <c r="G9" s="117" t="s">
        <v>22</v>
      </c>
      <c r="H9" s="116"/>
      <c r="I9" s="117" t="s">
        <v>24</v>
      </c>
      <c r="J9" s="116"/>
      <c r="K9" s="117" t="s">
        <v>24</v>
      </c>
      <c r="L9" s="116"/>
      <c r="M9" s="117" t="s">
        <v>26</v>
      </c>
    </row>
    <row r="10" spans="1:13" ht="15" customHeight="1">
      <c r="A10" s="27" t="str">
        <f>'Plant in Service'!A10</f>
        <v>December 2015</v>
      </c>
      <c r="C10" s="72">
        <v>294204200</v>
      </c>
      <c r="D10" s="118"/>
      <c r="E10" s="72">
        <v>94346392</v>
      </c>
      <c r="F10" s="118"/>
      <c r="G10" s="72">
        <v>116037177</v>
      </c>
      <c r="H10" s="118"/>
      <c r="I10" s="72">
        <v>13578326</v>
      </c>
      <c r="J10" s="118"/>
      <c r="K10" s="72">
        <v>44688299</v>
      </c>
      <c r="L10" s="118"/>
      <c r="M10" s="72">
        <f t="shared" ref="M10:M22" si="0">SUM(C10:L10)</f>
        <v>562854394</v>
      </c>
    </row>
    <row r="11" spans="1:13">
      <c r="A11" s="27" t="str">
        <f>'Plant in Service'!A11</f>
        <v>January 2016</v>
      </c>
      <c r="C11" s="48">
        <v>296738219</v>
      </c>
      <c r="D11" s="47"/>
      <c r="E11" s="48">
        <v>94742576</v>
      </c>
      <c r="F11" s="47"/>
      <c r="G11" s="48">
        <v>116788780</v>
      </c>
      <c r="H11" s="47"/>
      <c r="I11" s="48">
        <v>13749802</v>
      </c>
      <c r="J11" s="47"/>
      <c r="K11" s="48">
        <v>45186920</v>
      </c>
      <c r="L11" s="47"/>
      <c r="M11" s="48">
        <f t="shared" si="0"/>
        <v>567206297</v>
      </c>
    </row>
    <row r="12" spans="1:13">
      <c r="A12" s="27" t="str">
        <f>'Plant in Service'!A12</f>
        <v>February</v>
      </c>
      <c r="C12" s="48">
        <v>299360682</v>
      </c>
      <c r="D12" s="47"/>
      <c r="E12" s="48">
        <v>95138873</v>
      </c>
      <c r="F12" s="47"/>
      <c r="G12" s="48">
        <v>117544426</v>
      </c>
      <c r="H12" s="47"/>
      <c r="I12" s="48">
        <v>13920648</v>
      </c>
      <c r="J12" s="47"/>
      <c r="K12" s="48">
        <v>45688183</v>
      </c>
      <c r="L12" s="47"/>
      <c r="M12" s="48">
        <f t="shared" si="0"/>
        <v>571652812</v>
      </c>
    </row>
    <row r="13" spans="1:13">
      <c r="A13" s="27" t="str">
        <f>'Plant in Service'!A13</f>
        <v>March</v>
      </c>
      <c r="C13" s="48">
        <v>301983594</v>
      </c>
      <c r="D13" s="47"/>
      <c r="E13" s="48">
        <v>95535253</v>
      </c>
      <c r="F13" s="47"/>
      <c r="G13" s="48">
        <v>118303168</v>
      </c>
      <c r="H13" s="47"/>
      <c r="I13" s="48">
        <v>14092572</v>
      </c>
      <c r="J13" s="47"/>
      <c r="K13" s="48">
        <v>46192132</v>
      </c>
      <c r="L13" s="47"/>
      <c r="M13" s="48">
        <f t="shared" si="0"/>
        <v>576106719</v>
      </c>
    </row>
    <row r="14" spans="1:13">
      <c r="A14" s="27" t="str">
        <f>'Plant in Service'!A14</f>
        <v>April</v>
      </c>
      <c r="C14" s="48">
        <v>304607399</v>
      </c>
      <c r="D14" s="47"/>
      <c r="E14" s="48">
        <v>95931841</v>
      </c>
      <c r="F14" s="47"/>
      <c r="G14" s="48">
        <v>119068589</v>
      </c>
      <c r="H14" s="47"/>
      <c r="I14" s="48">
        <v>14267879</v>
      </c>
      <c r="J14" s="47"/>
      <c r="K14" s="48">
        <v>46700507</v>
      </c>
      <c r="L14" s="47"/>
      <c r="M14" s="48">
        <f t="shared" si="0"/>
        <v>580576215</v>
      </c>
    </row>
    <row r="15" spans="1:13">
      <c r="A15" s="27" t="str">
        <f>'Plant in Service'!A15</f>
        <v>May</v>
      </c>
      <c r="C15" s="48">
        <v>307234565</v>
      </c>
      <c r="D15" s="47"/>
      <c r="E15" s="48">
        <v>96328669</v>
      </c>
      <c r="F15" s="47"/>
      <c r="G15" s="48">
        <v>119836903</v>
      </c>
      <c r="H15" s="47"/>
      <c r="I15" s="48">
        <v>14444585</v>
      </c>
      <c r="J15" s="47"/>
      <c r="K15" s="48">
        <v>47211874</v>
      </c>
      <c r="L15" s="47"/>
      <c r="M15" s="48">
        <f t="shared" si="0"/>
        <v>585056596</v>
      </c>
    </row>
    <row r="16" spans="1:13">
      <c r="A16" s="27" t="str">
        <f>'Plant in Service'!A16</f>
        <v>June</v>
      </c>
      <c r="C16" s="48">
        <v>309862425</v>
      </c>
      <c r="D16" s="47"/>
      <c r="E16" s="48">
        <v>96725993</v>
      </c>
      <c r="F16" s="47"/>
      <c r="G16" s="48">
        <v>120608392</v>
      </c>
      <c r="H16" s="47"/>
      <c r="I16" s="48">
        <v>14622378</v>
      </c>
      <c r="J16" s="47"/>
      <c r="K16" s="48">
        <v>47726119</v>
      </c>
      <c r="L16" s="47"/>
      <c r="M16" s="48">
        <f t="shared" si="0"/>
        <v>589545307</v>
      </c>
    </row>
    <row r="17" spans="1:13">
      <c r="A17" s="27" t="str">
        <f>'Plant in Service'!A17</f>
        <v>July</v>
      </c>
      <c r="C17" s="48">
        <v>312513899</v>
      </c>
      <c r="D17" s="47"/>
      <c r="E17" s="48">
        <v>97130526</v>
      </c>
      <c r="F17" s="47"/>
      <c r="G17" s="48">
        <v>121384004</v>
      </c>
      <c r="H17" s="47"/>
      <c r="I17" s="48">
        <v>14801204</v>
      </c>
      <c r="J17" s="47"/>
      <c r="K17" s="48">
        <v>48243806</v>
      </c>
      <c r="L17" s="47"/>
      <c r="M17" s="48">
        <f t="shared" si="0"/>
        <v>594073439</v>
      </c>
    </row>
    <row r="18" spans="1:13">
      <c r="A18" s="27" t="str">
        <f>'Plant in Service'!A18</f>
        <v>August</v>
      </c>
      <c r="C18" s="48">
        <v>315171644</v>
      </c>
      <c r="D18" s="47"/>
      <c r="E18" s="48">
        <v>97537283</v>
      </c>
      <c r="F18" s="47"/>
      <c r="G18" s="48">
        <v>122165086</v>
      </c>
      <c r="H18" s="47"/>
      <c r="I18" s="48">
        <v>14981096</v>
      </c>
      <c r="J18" s="47"/>
      <c r="K18" s="48">
        <v>48764504</v>
      </c>
      <c r="L18" s="47"/>
      <c r="M18" s="48">
        <f t="shared" si="0"/>
        <v>598619613</v>
      </c>
    </row>
    <row r="19" spans="1:13">
      <c r="A19" s="27" t="str">
        <f>'Plant in Service'!A19</f>
        <v>September</v>
      </c>
      <c r="C19" s="48">
        <v>317832391</v>
      </c>
      <c r="D19" s="47"/>
      <c r="E19" s="48">
        <v>97947082</v>
      </c>
      <c r="F19" s="47"/>
      <c r="G19" s="48">
        <v>122951377</v>
      </c>
      <c r="H19" s="47"/>
      <c r="I19" s="48">
        <v>15162165</v>
      </c>
      <c r="J19" s="47"/>
      <c r="K19" s="48">
        <v>49287951</v>
      </c>
      <c r="L19" s="47"/>
      <c r="M19" s="48">
        <f t="shared" si="0"/>
        <v>603180966</v>
      </c>
    </row>
    <row r="20" spans="1:13">
      <c r="A20" s="27" t="str">
        <f>'Plant in Service'!A20</f>
        <v>October</v>
      </c>
      <c r="C20" s="48">
        <v>320494894</v>
      </c>
      <c r="D20" s="47"/>
      <c r="E20" s="48">
        <v>98357915</v>
      </c>
      <c r="F20" s="47"/>
      <c r="G20" s="48">
        <v>123743222</v>
      </c>
      <c r="H20" s="47"/>
      <c r="I20" s="48">
        <v>15344299</v>
      </c>
      <c r="J20" s="47"/>
      <c r="K20" s="48">
        <v>49806395</v>
      </c>
      <c r="L20" s="47"/>
      <c r="M20" s="48">
        <f t="shared" si="0"/>
        <v>607746725</v>
      </c>
    </row>
    <row r="21" spans="1:13">
      <c r="A21" s="27" t="str">
        <f>'Plant in Service'!A21</f>
        <v>November</v>
      </c>
      <c r="C21" s="48">
        <v>323159348</v>
      </c>
      <c r="D21" s="47"/>
      <c r="E21" s="48">
        <v>98780074</v>
      </c>
      <c r="F21" s="47"/>
      <c r="G21" s="48">
        <v>124540350</v>
      </c>
      <c r="H21" s="47"/>
      <c r="I21" s="48">
        <v>15527470</v>
      </c>
      <c r="J21" s="47"/>
      <c r="K21" s="48">
        <v>50325928</v>
      </c>
      <c r="L21" s="47"/>
      <c r="M21" s="48">
        <f t="shared" si="0"/>
        <v>612333170</v>
      </c>
    </row>
    <row r="22" spans="1:13">
      <c r="A22" s="27" t="str">
        <f>'Plant in Service'!A22</f>
        <v>December</v>
      </c>
      <c r="C22" s="48">
        <v>325825856</v>
      </c>
      <c r="D22" s="47"/>
      <c r="E22" s="48">
        <v>99205325</v>
      </c>
      <c r="F22" s="47"/>
      <c r="G22" s="48">
        <v>125343903</v>
      </c>
      <c r="H22" s="47"/>
      <c r="I22" s="48">
        <v>15711675</v>
      </c>
      <c r="J22" s="47"/>
      <c r="K22" s="48">
        <v>50846292</v>
      </c>
      <c r="L22" s="47"/>
      <c r="M22" s="48">
        <f t="shared" si="0"/>
        <v>616933051</v>
      </c>
    </row>
    <row r="23" spans="1:13" ht="13.5" thickBot="1">
      <c r="A23" s="28" t="s">
        <v>19</v>
      </c>
      <c r="C23" s="119">
        <f>ROUND(AVERAGE(C10:C22),0)</f>
        <v>309922240</v>
      </c>
      <c r="D23" s="47"/>
      <c r="E23" s="119">
        <f>ROUND(AVERAGE(E10:E22),0)</f>
        <v>96746754</v>
      </c>
      <c r="F23" s="47"/>
      <c r="G23" s="119">
        <f>ROUND(AVERAGE(G10:G22),0)</f>
        <v>120639644</v>
      </c>
      <c r="H23" s="47"/>
      <c r="I23" s="119">
        <f>ROUND(AVERAGE(I10:I22),0)</f>
        <v>14631085</v>
      </c>
      <c r="J23" s="47"/>
      <c r="K23" s="119">
        <f>ROUND(AVERAGE(K10:K22),0)</f>
        <v>47743762</v>
      </c>
      <c r="L23" s="47"/>
      <c r="M23" s="119">
        <f>ROUND(AVERAGE(M10:M22),0)</f>
        <v>589683485</v>
      </c>
    </row>
    <row r="24" spans="1:13" ht="13.5" thickTop="1">
      <c r="A24" s="28"/>
    </row>
    <row r="25" spans="1:13">
      <c r="A25" s="28"/>
    </row>
    <row r="27" spans="1:13">
      <c r="I27" s="120" t="s">
        <v>163</v>
      </c>
      <c r="J27" s="120"/>
      <c r="K27" s="120"/>
      <c r="L27" s="120"/>
      <c r="M27" s="120"/>
    </row>
    <row r="28" spans="1:13">
      <c r="A28" s="26" t="s">
        <v>27</v>
      </c>
      <c r="C28" s="116"/>
      <c r="E28" s="116" t="s">
        <v>23</v>
      </c>
      <c r="G28" s="116" t="s">
        <v>26</v>
      </c>
      <c r="I28" s="116" t="s">
        <v>25</v>
      </c>
      <c r="K28" s="116" t="s">
        <v>25</v>
      </c>
      <c r="M28" s="116" t="s">
        <v>26</v>
      </c>
    </row>
    <row r="29" spans="1:13">
      <c r="A29" s="25" t="s">
        <v>40</v>
      </c>
      <c r="C29" s="117" t="s">
        <v>23</v>
      </c>
      <c r="E29" s="117" t="s">
        <v>24</v>
      </c>
      <c r="G29" s="117" t="s">
        <v>23</v>
      </c>
      <c r="I29" s="117" t="s">
        <v>23</v>
      </c>
      <c r="K29" s="117" t="s">
        <v>24</v>
      </c>
      <c r="M29" s="117" t="s">
        <v>25</v>
      </c>
    </row>
    <row r="30" spans="1:13">
      <c r="A30" s="27" t="str">
        <f t="shared" ref="A30:A42" si="1">A10</f>
        <v>December 2015</v>
      </c>
      <c r="C30" s="48">
        <v>12009145</v>
      </c>
      <c r="D30" s="47"/>
      <c r="E30" s="48">
        <v>1569181</v>
      </c>
      <c r="F30" s="47"/>
      <c r="G30" s="48">
        <f>SUM(C30:E30)</f>
        <v>13578326</v>
      </c>
      <c r="I30" s="48">
        <v>15186589</v>
      </c>
      <c r="J30" s="47"/>
      <c r="K30" s="48">
        <v>9907045</v>
      </c>
      <c r="L30" s="47"/>
      <c r="M30" s="48">
        <f>SUM(I30:K30)</f>
        <v>25093634</v>
      </c>
    </row>
    <row r="31" spans="1:13">
      <c r="A31" s="27" t="str">
        <f t="shared" si="1"/>
        <v>January 2016</v>
      </c>
      <c r="C31" s="48">
        <v>12150844</v>
      </c>
      <c r="D31" s="47"/>
      <c r="E31" s="48">
        <v>1598958</v>
      </c>
      <c r="F31" s="47"/>
      <c r="G31" s="48">
        <f t="shared" ref="G31:G42" si="2">SUM(C31:E31)</f>
        <v>13749802</v>
      </c>
      <c r="I31" s="48">
        <v>15334154</v>
      </c>
      <c r="J31" s="47"/>
      <c r="K31" s="48">
        <v>10008683</v>
      </c>
      <c r="L31" s="47"/>
      <c r="M31" s="48">
        <f t="shared" ref="M31:M42" si="3">SUM(I31:K31)</f>
        <v>25342837</v>
      </c>
    </row>
    <row r="32" spans="1:13">
      <c r="A32" s="27" t="str">
        <f t="shared" si="1"/>
        <v>February</v>
      </c>
      <c r="C32" s="48">
        <v>12293594</v>
      </c>
      <c r="D32" s="47"/>
      <c r="E32" s="48">
        <v>1627054</v>
      </c>
      <c r="F32" s="47"/>
      <c r="G32" s="48">
        <f t="shared" si="2"/>
        <v>13920648</v>
      </c>
      <c r="I32" s="48">
        <v>15482034</v>
      </c>
      <c r="J32" s="47"/>
      <c r="K32" s="48">
        <v>10111100</v>
      </c>
      <c r="L32" s="47"/>
      <c r="M32" s="48">
        <f t="shared" si="3"/>
        <v>25593134</v>
      </c>
    </row>
    <row r="33" spans="1:13">
      <c r="A33" s="27" t="str">
        <f t="shared" si="1"/>
        <v>March</v>
      </c>
      <c r="C33" s="48">
        <v>12437422</v>
      </c>
      <c r="D33" s="47"/>
      <c r="E33" s="48">
        <v>1655150</v>
      </c>
      <c r="F33" s="47"/>
      <c r="G33" s="48">
        <f t="shared" si="2"/>
        <v>14092572</v>
      </c>
      <c r="I33" s="48">
        <v>15630255</v>
      </c>
      <c r="J33" s="47"/>
      <c r="K33" s="48">
        <v>10214296</v>
      </c>
      <c r="L33" s="47"/>
      <c r="M33" s="48">
        <f t="shared" si="3"/>
        <v>25844551</v>
      </c>
    </row>
    <row r="34" spans="1:13">
      <c r="A34" s="27" t="str">
        <f t="shared" si="1"/>
        <v>April</v>
      </c>
      <c r="C34" s="48">
        <v>12582321</v>
      </c>
      <c r="D34" s="47"/>
      <c r="E34" s="48">
        <v>1685558</v>
      </c>
      <c r="F34" s="47"/>
      <c r="G34" s="48">
        <f t="shared" si="2"/>
        <v>14267879</v>
      </c>
      <c r="I34" s="48">
        <v>15780279</v>
      </c>
      <c r="J34" s="47"/>
      <c r="K34" s="48">
        <v>10317791</v>
      </c>
      <c r="L34" s="47"/>
      <c r="M34" s="48">
        <f t="shared" si="3"/>
        <v>26098070</v>
      </c>
    </row>
    <row r="35" spans="1:13">
      <c r="A35" s="27" t="str">
        <f t="shared" si="1"/>
        <v>May</v>
      </c>
      <c r="C35" s="48">
        <v>12728278</v>
      </c>
      <c r="D35" s="47"/>
      <c r="E35" s="48">
        <v>1716307</v>
      </c>
      <c r="F35" s="47"/>
      <c r="G35" s="48">
        <f t="shared" si="2"/>
        <v>14444585</v>
      </c>
      <c r="I35" s="48">
        <v>15930825</v>
      </c>
      <c r="J35" s="47"/>
      <c r="K35" s="48">
        <v>10422067</v>
      </c>
      <c r="L35" s="47"/>
      <c r="M35" s="48">
        <f t="shared" si="3"/>
        <v>26352892</v>
      </c>
    </row>
    <row r="36" spans="1:13">
      <c r="A36" s="27" t="str">
        <f t="shared" si="1"/>
        <v>June</v>
      </c>
      <c r="C36" s="48">
        <v>12875323</v>
      </c>
      <c r="D36" s="47"/>
      <c r="E36" s="48">
        <v>1747055</v>
      </c>
      <c r="F36" s="47"/>
      <c r="G36" s="48">
        <f t="shared" si="2"/>
        <v>14622378</v>
      </c>
      <c r="I36" s="48">
        <v>16081823</v>
      </c>
      <c r="J36" s="47"/>
      <c r="K36" s="48">
        <v>10527124</v>
      </c>
      <c r="L36" s="47"/>
      <c r="M36" s="48">
        <f t="shared" si="3"/>
        <v>26608947</v>
      </c>
    </row>
    <row r="37" spans="1:13">
      <c r="A37" s="27" t="str">
        <f t="shared" si="1"/>
        <v>July</v>
      </c>
      <c r="C37" s="48">
        <v>13023400</v>
      </c>
      <c r="D37" s="47"/>
      <c r="E37" s="48">
        <v>1777804</v>
      </c>
      <c r="F37" s="47"/>
      <c r="G37" s="48">
        <f t="shared" si="2"/>
        <v>14801204</v>
      </c>
      <c r="I37" s="48">
        <v>16233588</v>
      </c>
      <c r="J37" s="47"/>
      <c r="K37" s="48">
        <v>10632962</v>
      </c>
      <c r="L37" s="47"/>
      <c r="M37" s="48">
        <f t="shared" si="3"/>
        <v>26866550</v>
      </c>
    </row>
    <row r="38" spans="1:13">
      <c r="A38" s="27" t="str">
        <f t="shared" si="1"/>
        <v>August</v>
      </c>
      <c r="C38" s="48">
        <v>13172543</v>
      </c>
      <c r="D38" s="47"/>
      <c r="E38" s="48">
        <v>1808553</v>
      </c>
      <c r="F38" s="47"/>
      <c r="G38" s="48">
        <f t="shared" si="2"/>
        <v>14981096</v>
      </c>
      <c r="I38" s="48">
        <v>16385912</v>
      </c>
      <c r="J38" s="47"/>
      <c r="K38" s="48">
        <v>10739581</v>
      </c>
      <c r="L38" s="47"/>
      <c r="M38" s="48">
        <f t="shared" si="3"/>
        <v>27125493</v>
      </c>
    </row>
    <row r="39" spans="1:13">
      <c r="A39" s="27" t="str">
        <f t="shared" si="1"/>
        <v>September</v>
      </c>
      <c r="C39" s="48">
        <v>13322863</v>
      </c>
      <c r="D39" s="47"/>
      <c r="E39" s="48">
        <v>1839302</v>
      </c>
      <c r="F39" s="47"/>
      <c r="G39" s="48">
        <f t="shared" si="2"/>
        <v>15162165</v>
      </c>
      <c r="I39" s="48">
        <v>16538723</v>
      </c>
      <c r="J39" s="47"/>
      <c r="K39" s="48">
        <v>10846871</v>
      </c>
      <c r="L39" s="47"/>
      <c r="M39" s="48">
        <f t="shared" si="3"/>
        <v>27385594</v>
      </c>
    </row>
    <row r="40" spans="1:13">
      <c r="A40" s="27" t="str">
        <f t="shared" si="1"/>
        <v>October</v>
      </c>
      <c r="C40" s="48">
        <v>13474249</v>
      </c>
      <c r="D40" s="47"/>
      <c r="E40" s="48">
        <v>1870050</v>
      </c>
      <c r="F40" s="47"/>
      <c r="G40" s="48">
        <f t="shared" si="2"/>
        <v>15344299</v>
      </c>
      <c r="I40" s="48">
        <v>16692131</v>
      </c>
      <c r="J40" s="47"/>
      <c r="K40" s="48">
        <v>10950780</v>
      </c>
      <c r="L40" s="47"/>
      <c r="M40" s="48">
        <f t="shared" si="3"/>
        <v>27642911</v>
      </c>
    </row>
    <row r="41" spans="1:13">
      <c r="A41" s="27" t="str">
        <f t="shared" si="1"/>
        <v>November</v>
      </c>
      <c r="C41" s="48">
        <v>13626671</v>
      </c>
      <c r="D41" s="47"/>
      <c r="E41" s="48">
        <v>1900799</v>
      </c>
      <c r="F41" s="47"/>
      <c r="G41" s="48">
        <f t="shared" si="2"/>
        <v>15527470</v>
      </c>
      <c r="I41" s="48">
        <v>16845971</v>
      </c>
      <c r="J41" s="47"/>
      <c r="K41" s="48">
        <v>11054866</v>
      </c>
      <c r="L41" s="47"/>
      <c r="M41" s="48">
        <f t="shared" si="3"/>
        <v>27900837</v>
      </c>
    </row>
    <row r="42" spans="1:13">
      <c r="A42" s="27" t="str">
        <f t="shared" si="1"/>
        <v>December</v>
      </c>
      <c r="C42" s="48">
        <v>13780127</v>
      </c>
      <c r="D42" s="47"/>
      <c r="E42" s="48">
        <v>1931548</v>
      </c>
      <c r="F42" s="47"/>
      <c r="G42" s="48">
        <f t="shared" si="2"/>
        <v>15711675</v>
      </c>
      <c r="I42" s="48">
        <v>17000098</v>
      </c>
      <c r="J42" s="47"/>
      <c r="K42" s="48">
        <v>11159127</v>
      </c>
      <c r="L42" s="47"/>
      <c r="M42" s="48">
        <f t="shared" si="3"/>
        <v>28159225</v>
      </c>
    </row>
    <row r="43" spans="1:13">
      <c r="J43" s="24"/>
      <c r="L43" s="24"/>
    </row>
    <row r="45" spans="1:13">
      <c r="C45" s="120" t="s">
        <v>162</v>
      </c>
      <c r="D45" s="120"/>
      <c r="E45" s="120"/>
      <c r="F45" s="120"/>
      <c r="G45" s="120"/>
      <c r="I45" s="120" t="s">
        <v>161</v>
      </c>
      <c r="J45" s="120"/>
      <c r="K45" s="120"/>
      <c r="L45" s="120"/>
      <c r="M45" s="120"/>
    </row>
    <row r="46" spans="1:13">
      <c r="A46" s="26"/>
      <c r="C46" s="116" t="s">
        <v>25</v>
      </c>
      <c r="E46" s="116" t="s">
        <v>25</v>
      </c>
      <c r="G46" s="116" t="s">
        <v>26</v>
      </c>
      <c r="I46" s="116" t="s">
        <v>25</v>
      </c>
      <c r="K46" s="116" t="s">
        <v>25</v>
      </c>
      <c r="M46" s="116" t="s">
        <v>26</v>
      </c>
    </row>
    <row r="47" spans="1:13">
      <c r="A47" s="25" t="s">
        <v>160</v>
      </c>
      <c r="C47" s="117" t="s">
        <v>23</v>
      </c>
      <c r="E47" s="117" t="s">
        <v>24</v>
      </c>
      <c r="G47" s="117" t="s">
        <v>23</v>
      </c>
      <c r="I47" s="117" t="s">
        <v>23</v>
      </c>
      <c r="K47" s="117" t="s">
        <v>24</v>
      </c>
      <c r="M47" s="117" t="s">
        <v>25</v>
      </c>
    </row>
    <row r="48" spans="1:13">
      <c r="A48" s="27" t="str">
        <f>A30</f>
        <v>December 2015</v>
      </c>
      <c r="C48" s="48">
        <v>9354539</v>
      </c>
      <c r="D48" s="24"/>
      <c r="E48" s="48">
        <v>9377683</v>
      </c>
      <c r="F48" s="47"/>
      <c r="G48" s="48">
        <f>SUM(C48:E48)</f>
        <v>18732222</v>
      </c>
      <c r="I48" s="48">
        <v>464651</v>
      </c>
      <c r="J48" s="47"/>
      <c r="K48" s="48">
        <v>397792</v>
      </c>
      <c r="L48" s="47"/>
      <c r="M48" s="48">
        <f>SUM(I48:K48)</f>
        <v>862443</v>
      </c>
    </row>
    <row r="49" spans="1:13">
      <c r="A49" s="27" t="str">
        <f t="shared" ref="A49:A60" si="4">A31</f>
        <v>January 2016</v>
      </c>
      <c r="C49" s="48">
        <v>9446749</v>
      </c>
      <c r="D49" s="24"/>
      <c r="E49" s="48">
        <v>9526011</v>
      </c>
      <c r="F49" s="47"/>
      <c r="G49" s="48">
        <f t="shared" ref="G49:G60" si="5">SUM(C49:E49)</f>
        <v>18972760</v>
      </c>
      <c r="I49" s="48">
        <v>469940</v>
      </c>
      <c r="J49" s="47"/>
      <c r="K49" s="48">
        <v>401383</v>
      </c>
      <c r="L49" s="47"/>
      <c r="M49" s="48">
        <f t="shared" ref="M49:M60" si="6">SUM(I49:K49)</f>
        <v>871323</v>
      </c>
    </row>
    <row r="50" spans="1:13">
      <c r="A50" s="27" t="str">
        <f t="shared" si="4"/>
        <v>February</v>
      </c>
      <c r="C50" s="48">
        <v>9539180</v>
      </c>
      <c r="D50" s="24"/>
      <c r="E50" s="48">
        <v>9675621</v>
      </c>
      <c r="F50" s="47"/>
      <c r="G50" s="48">
        <f t="shared" si="5"/>
        <v>19214801</v>
      </c>
      <c r="I50" s="48">
        <v>475253</v>
      </c>
      <c r="J50" s="47"/>
      <c r="K50" s="48">
        <v>404995</v>
      </c>
      <c r="L50" s="47"/>
      <c r="M50" s="48">
        <f t="shared" si="6"/>
        <v>880248</v>
      </c>
    </row>
    <row r="51" spans="1:13">
      <c r="A51" s="27" t="str">
        <f t="shared" si="4"/>
        <v>March</v>
      </c>
      <c r="C51" s="48">
        <v>9631853</v>
      </c>
      <c r="D51" s="24"/>
      <c r="E51" s="48">
        <v>9826513</v>
      </c>
      <c r="F51" s="47"/>
      <c r="G51" s="48">
        <f t="shared" si="5"/>
        <v>19458366</v>
      </c>
      <c r="I51" s="48">
        <v>480589</v>
      </c>
      <c r="J51" s="47"/>
      <c r="K51" s="48">
        <v>408626</v>
      </c>
      <c r="L51" s="47"/>
      <c r="M51" s="48">
        <f t="shared" si="6"/>
        <v>889215</v>
      </c>
    </row>
    <row r="52" spans="1:13">
      <c r="A52" s="27" t="str">
        <f t="shared" si="4"/>
        <v>April</v>
      </c>
      <c r="C52" s="48">
        <v>9725784</v>
      </c>
      <c r="D52" s="24"/>
      <c r="E52" s="48">
        <v>9978353</v>
      </c>
      <c r="F52" s="47"/>
      <c r="G52" s="48">
        <f t="shared" si="5"/>
        <v>19704137</v>
      </c>
      <c r="I52" s="48">
        <v>486057</v>
      </c>
      <c r="J52" s="47"/>
      <c r="K52" s="48">
        <v>412243</v>
      </c>
      <c r="L52" s="47"/>
      <c r="M52" s="48">
        <f t="shared" si="6"/>
        <v>898300</v>
      </c>
    </row>
    <row r="53" spans="1:13">
      <c r="A53" s="27" t="str">
        <f t="shared" si="4"/>
        <v>May</v>
      </c>
      <c r="C53" s="48">
        <v>9820065</v>
      </c>
      <c r="D53" s="24"/>
      <c r="E53" s="48">
        <v>10131480</v>
      </c>
      <c r="F53" s="47"/>
      <c r="G53" s="48">
        <f t="shared" si="5"/>
        <v>19951545</v>
      </c>
      <c r="I53" s="48">
        <v>491558</v>
      </c>
      <c r="J53" s="47"/>
      <c r="K53" s="48">
        <v>415879</v>
      </c>
      <c r="L53" s="47"/>
      <c r="M53" s="48">
        <f t="shared" si="6"/>
        <v>907437</v>
      </c>
    </row>
    <row r="54" spans="1:13">
      <c r="A54" s="27" t="str">
        <f t="shared" si="4"/>
        <v>June</v>
      </c>
      <c r="C54" s="48">
        <v>9914653</v>
      </c>
      <c r="D54" s="24"/>
      <c r="E54" s="48">
        <v>10285895</v>
      </c>
      <c r="F54" s="47"/>
      <c r="G54" s="48">
        <f t="shared" si="5"/>
        <v>20200548</v>
      </c>
      <c r="I54" s="48">
        <v>497088</v>
      </c>
      <c r="J54" s="47"/>
      <c r="K54" s="48">
        <v>419536</v>
      </c>
      <c r="L54" s="47"/>
      <c r="M54" s="48">
        <f t="shared" si="6"/>
        <v>916624</v>
      </c>
    </row>
    <row r="55" spans="1:13">
      <c r="A55" s="27" t="str">
        <f t="shared" si="4"/>
        <v>July</v>
      </c>
      <c r="C55" s="48">
        <v>10009786</v>
      </c>
      <c r="D55" s="24"/>
      <c r="E55" s="48">
        <v>10441597</v>
      </c>
      <c r="F55" s="47"/>
      <c r="G55" s="48">
        <f t="shared" si="5"/>
        <v>20451383</v>
      </c>
      <c r="I55" s="48">
        <v>502660</v>
      </c>
      <c r="J55" s="47"/>
      <c r="K55" s="48">
        <v>423213</v>
      </c>
      <c r="L55" s="47"/>
      <c r="M55" s="48">
        <f t="shared" si="6"/>
        <v>925873</v>
      </c>
    </row>
    <row r="56" spans="1:13">
      <c r="A56" s="27" t="str">
        <f t="shared" si="4"/>
        <v>August</v>
      </c>
      <c r="C56" s="48">
        <v>10105255</v>
      </c>
      <c r="D56" s="24"/>
      <c r="E56" s="48">
        <v>10598586</v>
      </c>
      <c r="F56" s="47"/>
      <c r="G56" s="48">
        <f t="shared" si="5"/>
        <v>20703841</v>
      </c>
      <c r="I56" s="48">
        <v>508260</v>
      </c>
      <c r="J56" s="47"/>
      <c r="K56" s="48">
        <v>426910</v>
      </c>
      <c r="L56" s="47"/>
      <c r="M56" s="48">
        <f t="shared" si="6"/>
        <v>935170</v>
      </c>
    </row>
    <row r="57" spans="1:13">
      <c r="A57" s="27" t="str">
        <f t="shared" si="4"/>
        <v>September</v>
      </c>
      <c r="C57" s="48">
        <v>10201057</v>
      </c>
      <c r="D57" s="24"/>
      <c r="E57" s="48">
        <v>10756786</v>
      </c>
      <c r="F57" s="47"/>
      <c r="G57" s="48">
        <f t="shared" si="5"/>
        <v>20957843</v>
      </c>
      <c r="I57" s="48">
        <v>513894</v>
      </c>
      <c r="J57" s="47"/>
      <c r="K57" s="48">
        <v>430620</v>
      </c>
      <c r="L57" s="47"/>
      <c r="M57" s="48">
        <f t="shared" si="6"/>
        <v>944514</v>
      </c>
    </row>
    <row r="58" spans="1:13">
      <c r="A58" s="27" t="str">
        <f t="shared" si="4"/>
        <v>October</v>
      </c>
      <c r="C58" s="48">
        <v>10297208</v>
      </c>
      <c r="D58" s="24"/>
      <c r="E58" s="48">
        <v>10912643</v>
      </c>
      <c r="F58" s="47"/>
      <c r="G58" s="48">
        <f t="shared" si="5"/>
        <v>21209851</v>
      </c>
      <c r="I58" s="48">
        <v>519553</v>
      </c>
      <c r="J58" s="47"/>
      <c r="K58" s="48">
        <v>434080</v>
      </c>
      <c r="L58" s="47"/>
      <c r="M58" s="48">
        <f t="shared" si="6"/>
        <v>953633</v>
      </c>
    </row>
    <row r="59" spans="1:13">
      <c r="A59" s="27" t="str">
        <f t="shared" si="4"/>
        <v>November</v>
      </c>
      <c r="C59" s="48">
        <v>10393659</v>
      </c>
      <c r="D59" s="24"/>
      <c r="E59" s="48">
        <v>11068641</v>
      </c>
      <c r="F59" s="47"/>
      <c r="G59" s="48">
        <f t="shared" si="5"/>
        <v>21462300</v>
      </c>
      <c r="I59" s="48">
        <v>525240</v>
      </c>
      <c r="J59" s="47"/>
      <c r="K59" s="48">
        <v>437551</v>
      </c>
      <c r="L59" s="47"/>
      <c r="M59" s="48">
        <f t="shared" si="6"/>
        <v>962791</v>
      </c>
    </row>
    <row r="60" spans="1:13">
      <c r="A60" s="27" t="str">
        <f t="shared" si="4"/>
        <v>December</v>
      </c>
      <c r="C60" s="48">
        <v>10490306</v>
      </c>
      <c r="D60" s="24"/>
      <c r="E60" s="48">
        <v>11224780</v>
      </c>
      <c r="F60" s="47"/>
      <c r="G60" s="48">
        <f t="shared" si="5"/>
        <v>21715086</v>
      </c>
      <c r="I60" s="48">
        <v>530946</v>
      </c>
      <c r="J60" s="47"/>
      <c r="K60" s="48">
        <v>441035</v>
      </c>
      <c r="L60" s="47"/>
      <c r="M60" s="48">
        <f t="shared" si="6"/>
        <v>971981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/>
  </sheetViews>
  <sheetFormatPr defaultRowHeight="12.75"/>
  <cols>
    <col min="1" max="1" width="15.7109375" style="24" customWidth="1"/>
    <col min="2" max="2" width="2.7109375" style="24" customWidth="1"/>
    <col min="3" max="3" width="12.7109375" style="24" customWidth="1"/>
    <col min="4" max="4" width="2.7109375" style="46" customWidth="1"/>
    <col min="5" max="5" width="12.7109375" style="24" customWidth="1"/>
    <col min="6" max="6" width="2.7109375" style="46" customWidth="1"/>
    <col min="7" max="7" width="12.7109375" style="24" customWidth="1"/>
    <col min="8" max="8" width="2.7109375" style="24" customWidth="1"/>
    <col min="9" max="10" width="9.140625" style="24"/>
    <col min="11" max="11" width="12" style="24" bestFit="1" customWidth="1"/>
    <col min="12" max="12" width="10.7109375" style="48" bestFit="1" customWidth="1"/>
    <col min="13" max="13" width="10.7109375" style="24" bestFit="1" customWidth="1"/>
    <col min="14" max="16384" width="9.140625" style="24"/>
  </cols>
  <sheetData>
    <row r="1" spans="1:13">
      <c r="A1" s="23" t="s">
        <v>0</v>
      </c>
      <c r="B1" s="114"/>
      <c r="C1" s="114"/>
      <c r="D1" s="115"/>
      <c r="E1" s="114"/>
      <c r="F1" s="115"/>
      <c r="G1" s="114"/>
    </row>
    <row r="2" spans="1:13">
      <c r="A2" s="23" t="s">
        <v>2</v>
      </c>
      <c r="B2" s="114"/>
      <c r="C2" s="114"/>
      <c r="D2" s="115"/>
      <c r="E2" s="114"/>
      <c r="F2" s="115"/>
      <c r="G2" s="114"/>
    </row>
    <row r="3" spans="1:13">
      <c r="A3" s="23" t="s">
        <v>30</v>
      </c>
      <c r="B3" s="114"/>
      <c r="C3" s="114"/>
      <c r="D3" s="115"/>
      <c r="E3" s="114"/>
      <c r="F3" s="115"/>
      <c r="G3" s="114"/>
    </row>
    <row r="4" spans="1:13">
      <c r="A4" s="23" t="str">
        <f>'Cover Page'!A7</f>
        <v>Projected 2016</v>
      </c>
      <c r="B4" s="114"/>
      <c r="C4" s="114"/>
      <c r="D4" s="115"/>
      <c r="E4" s="114"/>
      <c r="F4" s="115"/>
      <c r="G4" s="114"/>
    </row>
    <row r="8" spans="1:13">
      <c r="A8" s="14"/>
      <c r="C8" s="116" t="s">
        <v>31</v>
      </c>
      <c r="D8" s="116"/>
      <c r="E8" s="116" t="s">
        <v>33</v>
      </c>
      <c r="F8" s="116"/>
      <c r="G8" s="116" t="s">
        <v>35</v>
      </c>
    </row>
    <row r="9" spans="1:13">
      <c r="A9" s="14"/>
      <c r="C9" s="117" t="s">
        <v>32</v>
      </c>
      <c r="D9" s="116"/>
      <c r="E9" s="117" t="s">
        <v>34</v>
      </c>
      <c r="F9" s="116"/>
      <c r="G9" s="117" t="s">
        <v>32</v>
      </c>
    </row>
    <row r="10" spans="1:13" ht="15" customHeight="1">
      <c r="A10" s="121" t="s">
        <v>183</v>
      </c>
      <c r="C10" s="72"/>
      <c r="D10" s="118"/>
      <c r="E10" s="72"/>
      <c r="F10" s="118"/>
      <c r="G10" s="72">
        <f>12879208+300152+133</f>
        <v>13179493</v>
      </c>
      <c r="M10" s="48"/>
    </row>
    <row r="11" spans="1:13">
      <c r="A11" s="121" t="s">
        <v>184</v>
      </c>
      <c r="C11" s="72">
        <f>G10</f>
        <v>13179493</v>
      </c>
      <c r="D11" s="47"/>
      <c r="E11" s="72">
        <v>0</v>
      </c>
      <c r="F11" s="47"/>
      <c r="G11" s="48">
        <f>C11+E11</f>
        <v>13179493</v>
      </c>
      <c r="M11" s="48"/>
    </row>
    <row r="12" spans="1:13">
      <c r="A12" s="121" t="s">
        <v>4</v>
      </c>
      <c r="C12" s="48">
        <f t="shared" ref="C12:C22" si="0">G11</f>
        <v>13179493</v>
      </c>
      <c r="D12" s="47"/>
      <c r="E12" s="48">
        <v>0</v>
      </c>
      <c r="F12" s="47"/>
      <c r="G12" s="48">
        <f t="shared" ref="G12:G22" si="1">C12+E12</f>
        <v>13179493</v>
      </c>
      <c r="M12" s="48"/>
    </row>
    <row r="13" spans="1:13">
      <c r="A13" s="121" t="s">
        <v>5</v>
      </c>
      <c r="C13" s="48">
        <f t="shared" si="0"/>
        <v>13179493</v>
      </c>
      <c r="D13" s="47"/>
      <c r="E13" s="48">
        <v>0</v>
      </c>
      <c r="F13" s="47"/>
      <c r="G13" s="48">
        <f t="shared" si="1"/>
        <v>13179493</v>
      </c>
      <c r="M13" s="48"/>
    </row>
    <row r="14" spans="1:13">
      <c r="A14" s="121" t="s">
        <v>6</v>
      </c>
      <c r="C14" s="48">
        <f t="shared" si="0"/>
        <v>13179493</v>
      </c>
      <c r="D14" s="47"/>
      <c r="E14" s="48">
        <v>0</v>
      </c>
      <c r="F14" s="47"/>
      <c r="G14" s="48">
        <f t="shared" si="1"/>
        <v>13179493</v>
      </c>
      <c r="M14" s="48"/>
    </row>
    <row r="15" spans="1:13">
      <c r="A15" s="121" t="s">
        <v>7</v>
      </c>
      <c r="C15" s="48">
        <f t="shared" si="0"/>
        <v>13179493</v>
      </c>
      <c r="D15" s="47"/>
      <c r="E15" s="48">
        <v>0</v>
      </c>
      <c r="F15" s="47"/>
      <c r="G15" s="48">
        <f t="shared" si="1"/>
        <v>13179493</v>
      </c>
      <c r="M15" s="48"/>
    </row>
    <row r="16" spans="1:13">
      <c r="A16" s="121" t="s">
        <v>8</v>
      </c>
      <c r="C16" s="48">
        <f t="shared" si="0"/>
        <v>13179493</v>
      </c>
      <c r="D16" s="47"/>
      <c r="E16" s="48">
        <v>24144557</v>
      </c>
      <c r="F16" s="47"/>
      <c r="G16" s="48">
        <f t="shared" si="1"/>
        <v>37324050</v>
      </c>
      <c r="M16" s="48"/>
    </row>
    <row r="17" spans="1:13">
      <c r="A17" s="121" t="s">
        <v>9</v>
      </c>
      <c r="C17" s="48">
        <f t="shared" si="0"/>
        <v>37324050</v>
      </c>
      <c r="D17" s="47"/>
      <c r="E17" s="48">
        <v>0</v>
      </c>
      <c r="F17" s="47"/>
      <c r="G17" s="48">
        <f t="shared" si="1"/>
        <v>37324050</v>
      </c>
      <c r="M17" s="48"/>
    </row>
    <row r="18" spans="1:13">
      <c r="A18" s="121" t="s">
        <v>10</v>
      </c>
      <c r="C18" s="48">
        <f t="shared" si="0"/>
        <v>37324050</v>
      </c>
      <c r="D18" s="47"/>
      <c r="E18" s="48">
        <v>0</v>
      </c>
      <c r="F18" s="47"/>
      <c r="G18" s="48">
        <f t="shared" si="1"/>
        <v>37324050</v>
      </c>
      <c r="M18" s="48"/>
    </row>
    <row r="19" spans="1:13">
      <c r="A19" s="121" t="s">
        <v>11</v>
      </c>
      <c r="C19" s="48">
        <f t="shared" si="0"/>
        <v>37324050</v>
      </c>
      <c r="D19" s="47"/>
      <c r="E19" s="48">
        <v>0</v>
      </c>
      <c r="F19" s="47"/>
      <c r="G19" s="48">
        <f t="shared" si="1"/>
        <v>37324050</v>
      </c>
      <c r="M19" s="48"/>
    </row>
    <row r="20" spans="1:13">
      <c r="A20" s="121" t="s">
        <v>12</v>
      </c>
      <c r="C20" s="48">
        <f t="shared" si="0"/>
        <v>37324050</v>
      </c>
      <c r="D20" s="47"/>
      <c r="E20" s="48">
        <v>0</v>
      </c>
      <c r="F20" s="47"/>
      <c r="G20" s="48">
        <f t="shared" si="1"/>
        <v>37324050</v>
      </c>
      <c r="M20" s="48"/>
    </row>
    <row r="21" spans="1:13">
      <c r="A21" s="121" t="s">
        <v>13</v>
      </c>
      <c r="C21" s="48">
        <f t="shared" si="0"/>
        <v>37324050</v>
      </c>
      <c r="D21" s="47"/>
      <c r="E21" s="48">
        <v>0</v>
      </c>
      <c r="F21" s="47"/>
      <c r="G21" s="48">
        <f t="shared" si="1"/>
        <v>37324050</v>
      </c>
      <c r="M21" s="48"/>
    </row>
    <row r="22" spans="1:13">
      <c r="A22" s="121" t="s">
        <v>14</v>
      </c>
      <c r="C22" s="48">
        <f t="shared" si="0"/>
        <v>37324050</v>
      </c>
      <c r="D22" s="47"/>
      <c r="E22" s="48">
        <v>0</v>
      </c>
      <c r="F22" s="47"/>
      <c r="G22" s="48">
        <f t="shared" si="1"/>
        <v>37324050</v>
      </c>
    </row>
    <row r="23" spans="1:13">
      <c r="C23" s="48"/>
      <c r="D23" s="47"/>
      <c r="E23" s="48"/>
      <c r="F23" s="47"/>
      <c r="G23" s="48"/>
    </row>
    <row r="24" spans="1:13" ht="13.5" thickBot="1">
      <c r="A24" s="24" t="s">
        <v>19</v>
      </c>
      <c r="C24" s="47"/>
      <c r="D24" s="47"/>
      <c r="E24" s="47"/>
      <c r="F24" s="47"/>
      <c r="G24" s="119">
        <f>ROUND(AVERAGE(G10:G22),0)</f>
        <v>26180408</v>
      </c>
    </row>
    <row r="25" spans="1:13" ht="13.5" thickTop="1"/>
    <row r="28" spans="1:13">
      <c r="I28" s="122"/>
      <c r="J28" s="122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3.42578125" bestFit="1" customWidth="1"/>
    <col min="4" max="4" width="2.7109375" customWidth="1"/>
    <col min="5" max="5" width="12.28515625" bestFit="1" customWidth="1"/>
    <col min="6" max="6" width="2.7109375" customWidth="1"/>
    <col min="7" max="7" width="11.7109375" style="17" bestFit="1" customWidth="1"/>
    <col min="8" max="8" width="2.7109375" customWidth="1"/>
    <col min="9" max="9" width="11.7109375" style="17" bestFit="1" customWidth="1"/>
    <col min="10" max="10" width="2.7109375" style="68" customWidth="1"/>
    <col min="11" max="11" width="13.42578125" bestFit="1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128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G5"/>
      <c r="I5" s="68"/>
    </row>
    <row r="7" spans="1:11">
      <c r="A7" s="14"/>
      <c r="C7" s="11" t="s">
        <v>112</v>
      </c>
      <c r="D7" s="11"/>
      <c r="E7" s="11" t="s">
        <v>112</v>
      </c>
      <c r="G7" s="11" t="s">
        <v>112</v>
      </c>
      <c r="I7" s="11" t="s">
        <v>112</v>
      </c>
      <c r="K7" s="11"/>
    </row>
    <row r="8" spans="1:11">
      <c r="A8" s="14"/>
      <c r="C8" s="4">
        <v>282</v>
      </c>
      <c r="D8" s="11"/>
      <c r="E8" s="4">
        <v>283</v>
      </c>
      <c r="G8" s="4">
        <v>190</v>
      </c>
      <c r="I8" s="4">
        <v>255</v>
      </c>
      <c r="K8" s="4" t="s">
        <v>26</v>
      </c>
    </row>
    <row r="9" spans="1:11" hidden="1">
      <c r="A9" s="9" t="s">
        <v>83</v>
      </c>
      <c r="C9" s="12">
        <v>-131034841</v>
      </c>
      <c r="D9" s="12"/>
      <c r="E9" s="12">
        <v>-17805533</v>
      </c>
      <c r="G9" s="12">
        <v>21092915</v>
      </c>
      <c r="I9" s="12"/>
      <c r="K9" s="12">
        <f>SUM(C9:G9)</f>
        <v>-127747459</v>
      </c>
    </row>
    <row r="10" spans="1:11" hidden="1">
      <c r="A10" s="73" t="s">
        <v>85</v>
      </c>
      <c r="B10" s="71"/>
      <c r="C10" s="74">
        <v>-138035371</v>
      </c>
      <c r="D10" s="74"/>
      <c r="E10" s="74">
        <v>-17053870</v>
      </c>
      <c r="F10" s="71"/>
      <c r="G10" s="74">
        <v>18030471</v>
      </c>
      <c r="H10" s="71"/>
      <c r="I10" s="74"/>
      <c r="J10" s="71"/>
      <c r="K10" s="74">
        <f t="shared" ref="K10:K11" si="0">SUM(C10:G10)</f>
        <v>-137058770</v>
      </c>
    </row>
    <row r="11" spans="1:11" hidden="1">
      <c r="A11" s="75" t="s">
        <v>84</v>
      </c>
      <c r="B11" s="76"/>
      <c r="C11" s="77">
        <v>-152954375</v>
      </c>
      <c r="D11" s="77"/>
      <c r="E11" s="77">
        <v>-21047933</v>
      </c>
      <c r="F11" s="76"/>
      <c r="G11" s="77">
        <v>24498545</v>
      </c>
      <c r="H11" s="76"/>
      <c r="I11" s="77"/>
      <c r="J11" s="76"/>
      <c r="K11" s="77">
        <f t="shared" si="0"/>
        <v>-149503763</v>
      </c>
    </row>
    <row r="12" spans="1:11" s="68" customFormat="1" hidden="1">
      <c r="A12" s="73" t="s">
        <v>181</v>
      </c>
      <c r="B12" s="71"/>
      <c r="C12" s="74">
        <v>-160807366</v>
      </c>
      <c r="D12" s="74"/>
      <c r="E12" s="74">
        <v>-19706035</v>
      </c>
      <c r="F12" s="71"/>
      <c r="G12" s="74">
        <v>15068316</v>
      </c>
      <c r="H12" s="71"/>
      <c r="I12" s="74">
        <v>-1589533</v>
      </c>
      <c r="J12" s="71"/>
      <c r="K12" s="74">
        <f>SUM(C12:I12)</f>
        <v>-167034618</v>
      </c>
    </row>
    <row r="13" spans="1:11" hidden="1">
      <c r="A13" s="9" t="s">
        <v>3</v>
      </c>
      <c r="C13" s="1">
        <v>-159658740</v>
      </c>
      <c r="D13" s="1"/>
      <c r="E13" s="1">
        <v>-17449124</v>
      </c>
      <c r="G13" s="1">
        <v>12734221</v>
      </c>
      <c r="I13" s="1"/>
      <c r="K13" s="1">
        <f>SUM(C13:I13)</f>
        <v>-164373643</v>
      </c>
    </row>
    <row r="14" spans="1:11">
      <c r="A14" s="78" t="s">
        <v>180</v>
      </c>
      <c r="B14" s="10"/>
      <c r="C14" s="15">
        <v>-209967588</v>
      </c>
      <c r="D14" s="15"/>
      <c r="E14" s="15">
        <v>-24526229</v>
      </c>
      <c r="F14" s="10"/>
      <c r="G14" s="15">
        <v>18018820</v>
      </c>
      <c r="H14" s="10"/>
      <c r="I14" s="15">
        <v>-2178341</v>
      </c>
      <c r="J14" s="10"/>
      <c r="K14" s="15">
        <f>SUM(C14:I14)</f>
        <v>-218653338</v>
      </c>
    </row>
    <row r="15" spans="1:11" s="10" customFormat="1">
      <c r="G15" s="79"/>
      <c r="I15" s="79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7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>
      <c r="A3" s="3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>
      <c r="A4" s="3" t="str">
        <f>'Cover Page'!A7</f>
        <v>Projected 2016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>
      <c r="G5"/>
    </row>
    <row r="7" spans="1:16">
      <c r="A7" t="s">
        <v>185</v>
      </c>
      <c r="G7" s="72">
        <v>21411000</v>
      </c>
    </row>
    <row r="8" spans="1:16">
      <c r="A8" t="s">
        <v>186</v>
      </c>
      <c r="G8" s="20">
        <f>K44</f>
        <v>0.92208999999999997</v>
      </c>
    </row>
    <row r="9" spans="1:16" ht="13.5" thickBot="1">
      <c r="A9" t="s">
        <v>99</v>
      </c>
      <c r="G9" s="40">
        <f>ROUND(G7*G8,0)</f>
        <v>19742869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4"/>
      <c r="C11" s="11" t="s">
        <v>27</v>
      </c>
      <c r="D11" s="11"/>
      <c r="E11" s="11" t="s">
        <v>41</v>
      </c>
      <c r="L11" s="1"/>
      <c r="M11" s="1"/>
      <c r="N11" s="1"/>
      <c r="O11" s="1"/>
      <c r="P11" s="1"/>
    </row>
    <row r="12" spans="1:16">
      <c r="A12" s="14"/>
      <c r="C12" s="4" t="s">
        <v>40</v>
      </c>
      <c r="D12" s="11"/>
      <c r="E12" s="4" t="s">
        <v>21</v>
      </c>
      <c r="L12" s="1"/>
      <c r="M12" s="1"/>
      <c r="N12" s="1"/>
      <c r="O12" s="1"/>
      <c r="P12" s="1"/>
    </row>
    <row r="13" spans="1:16">
      <c r="A13" s="9" t="s">
        <v>183</v>
      </c>
      <c r="C13" s="12">
        <f>$G$9</f>
        <v>19742869</v>
      </c>
      <c r="D13" s="12"/>
      <c r="E13" s="12">
        <f t="shared" ref="E13:E25" si="0">ROUND(C13*$G$44,0)</f>
        <v>102465</v>
      </c>
      <c r="L13" s="1"/>
      <c r="M13" s="1"/>
      <c r="N13" s="1"/>
      <c r="O13" s="1"/>
      <c r="P13" s="1"/>
    </row>
    <row r="14" spans="1:16">
      <c r="A14" s="9" t="s">
        <v>184</v>
      </c>
      <c r="C14" s="1">
        <f t="shared" ref="C14:C25" si="1">$G$9</f>
        <v>19742869</v>
      </c>
      <c r="D14" s="1"/>
      <c r="E14" s="1">
        <f t="shared" si="0"/>
        <v>102465</v>
      </c>
      <c r="L14" s="1"/>
      <c r="M14" s="1"/>
      <c r="N14" s="1"/>
      <c r="O14" s="1"/>
      <c r="P14" s="1"/>
    </row>
    <row r="15" spans="1:16">
      <c r="A15" s="9" t="s">
        <v>4</v>
      </c>
      <c r="C15" s="1">
        <f t="shared" si="1"/>
        <v>19742869</v>
      </c>
      <c r="D15" s="1"/>
      <c r="E15" s="1">
        <f t="shared" si="0"/>
        <v>102465</v>
      </c>
      <c r="L15" s="1"/>
      <c r="M15" s="1"/>
      <c r="N15" s="1"/>
      <c r="O15" s="1"/>
      <c r="P15" s="1"/>
    </row>
    <row r="16" spans="1:16">
      <c r="A16" s="9" t="s">
        <v>5</v>
      </c>
      <c r="C16" s="1">
        <f t="shared" si="1"/>
        <v>19742869</v>
      </c>
      <c r="D16" s="1"/>
      <c r="E16" s="1">
        <f t="shared" si="0"/>
        <v>102465</v>
      </c>
      <c r="L16" s="1"/>
      <c r="M16" s="1"/>
      <c r="N16" s="1"/>
      <c r="O16" s="1"/>
      <c r="P16" s="1"/>
    </row>
    <row r="17" spans="1:16">
      <c r="A17" s="9" t="s">
        <v>6</v>
      </c>
      <c r="C17" s="1">
        <f t="shared" si="1"/>
        <v>19742869</v>
      </c>
      <c r="D17" s="1"/>
      <c r="E17" s="1">
        <f t="shared" si="0"/>
        <v>102465</v>
      </c>
      <c r="L17" s="1"/>
      <c r="M17" s="1"/>
      <c r="N17" s="1"/>
      <c r="O17" s="1"/>
      <c r="P17" s="1"/>
    </row>
    <row r="18" spans="1:16">
      <c r="A18" s="9" t="s">
        <v>7</v>
      </c>
      <c r="C18" s="1">
        <f t="shared" si="1"/>
        <v>19742869</v>
      </c>
      <c r="D18" s="1"/>
      <c r="E18" s="1">
        <f t="shared" si="0"/>
        <v>102465</v>
      </c>
      <c r="L18" s="1"/>
      <c r="M18" s="1"/>
      <c r="N18" s="1"/>
      <c r="O18" s="1"/>
      <c r="P18" s="1"/>
    </row>
    <row r="19" spans="1:16">
      <c r="A19" s="9" t="s">
        <v>8</v>
      </c>
      <c r="C19" s="1">
        <f t="shared" si="1"/>
        <v>19742869</v>
      </c>
      <c r="D19" s="1"/>
      <c r="E19" s="1">
        <f t="shared" si="0"/>
        <v>102465</v>
      </c>
      <c r="L19" s="1"/>
      <c r="M19" s="1"/>
      <c r="N19" s="1"/>
      <c r="O19" s="1"/>
      <c r="P19" s="1"/>
    </row>
    <row r="20" spans="1:16">
      <c r="A20" s="9" t="s">
        <v>9</v>
      </c>
      <c r="C20" s="1">
        <f t="shared" si="1"/>
        <v>19742869</v>
      </c>
      <c r="D20" s="1"/>
      <c r="E20" s="1">
        <f t="shared" si="0"/>
        <v>102465</v>
      </c>
      <c r="L20" s="1"/>
      <c r="M20" s="1"/>
      <c r="N20" s="1"/>
      <c r="O20" s="1"/>
      <c r="P20" s="1"/>
    </row>
    <row r="21" spans="1:16">
      <c r="A21" s="9" t="s">
        <v>10</v>
      </c>
      <c r="C21" s="1">
        <f t="shared" si="1"/>
        <v>19742869</v>
      </c>
      <c r="D21" s="1"/>
      <c r="E21" s="1">
        <f t="shared" si="0"/>
        <v>102465</v>
      </c>
      <c r="L21" s="1"/>
      <c r="M21" s="1"/>
      <c r="N21" s="1"/>
      <c r="O21" s="1"/>
      <c r="P21" s="1"/>
    </row>
    <row r="22" spans="1:16">
      <c r="A22" s="9" t="s">
        <v>11</v>
      </c>
      <c r="C22" s="1">
        <f t="shared" si="1"/>
        <v>19742869</v>
      </c>
      <c r="D22" s="1"/>
      <c r="E22" s="1">
        <f t="shared" si="0"/>
        <v>102465</v>
      </c>
      <c r="L22" s="1"/>
      <c r="M22" s="1"/>
      <c r="N22" s="1"/>
      <c r="O22" s="1"/>
      <c r="P22" s="1"/>
    </row>
    <row r="23" spans="1:16">
      <c r="A23" s="9" t="s">
        <v>12</v>
      </c>
      <c r="C23" s="1">
        <f t="shared" si="1"/>
        <v>19742869</v>
      </c>
      <c r="D23" s="1"/>
      <c r="E23" s="1">
        <f t="shared" si="0"/>
        <v>102465</v>
      </c>
      <c r="L23" s="1"/>
      <c r="M23" s="1"/>
      <c r="N23" s="1"/>
      <c r="O23" s="1"/>
      <c r="P23" s="1"/>
    </row>
    <row r="24" spans="1:16">
      <c r="A24" s="9" t="s">
        <v>13</v>
      </c>
      <c r="C24" s="1">
        <f t="shared" si="1"/>
        <v>19742869</v>
      </c>
      <c r="D24" s="1"/>
      <c r="E24" s="1">
        <f t="shared" si="0"/>
        <v>102465</v>
      </c>
      <c r="L24" s="1"/>
      <c r="M24" s="1"/>
      <c r="N24" s="1"/>
      <c r="O24" s="1"/>
      <c r="P24" s="1"/>
    </row>
    <row r="25" spans="1:16">
      <c r="A25" s="9" t="s">
        <v>14</v>
      </c>
      <c r="C25" s="1">
        <f t="shared" si="1"/>
        <v>19742869</v>
      </c>
      <c r="D25" s="1"/>
      <c r="E25" s="1">
        <f t="shared" si="0"/>
        <v>102465</v>
      </c>
    </row>
    <row r="26" spans="1:16">
      <c r="A26" t="s">
        <v>19</v>
      </c>
      <c r="C26" s="15"/>
      <c r="D26" s="1"/>
      <c r="E26" s="15">
        <f>ROUND(AVERAGE(E13:E25),0)</f>
        <v>102465</v>
      </c>
      <c r="I26" s="1"/>
    </row>
    <row r="27" spans="1:16">
      <c r="I27" s="1"/>
    </row>
    <row r="28" spans="1:16">
      <c r="C28" s="18" t="s">
        <v>42</v>
      </c>
      <c r="E28" s="11" t="s">
        <v>41</v>
      </c>
      <c r="I28" s="18" t="s">
        <v>50</v>
      </c>
    </row>
    <row r="29" spans="1:16">
      <c r="C29" s="18" t="s">
        <v>39</v>
      </c>
      <c r="E29" s="11" t="s">
        <v>21</v>
      </c>
      <c r="G29" s="11" t="s">
        <v>45</v>
      </c>
      <c r="I29" s="18" t="s">
        <v>39</v>
      </c>
      <c r="K29" s="11" t="s">
        <v>98</v>
      </c>
    </row>
    <row r="30" spans="1:16">
      <c r="C30" s="19" t="s">
        <v>97</v>
      </c>
      <c r="E30" s="4" t="s">
        <v>47</v>
      </c>
      <c r="G30" s="4" t="s">
        <v>46</v>
      </c>
      <c r="I30" s="19" t="s">
        <v>97</v>
      </c>
      <c r="K30" s="4" t="s">
        <v>40</v>
      </c>
    </row>
    <row r="31" spans="1:16">
      <c r="A31" s="9" t="s">
        <v>187</v>
      </c>
      <c r="C31" s="1">
        <v>14300779</v>
      </c>
      <c r="E31" s="1">
        <v>358327</v>
      </c>
      <c r="F31" s="1"/>
      <c r="G31" s="1"/>
      <c r="I31" s="48">
        <v>19425955</v>
      </c>
      <c r="K31" s="20">
        <f>ROUND(C31/I31,5)</f>
        <v>0.73616999999999999</v>
      </c>
    </row>
    <row r="32" spans="1:16">
      <c r="A32" s="9" t="s">
        <v>44</v>
      </c>
      <c r="C32" s="1">
        <v>12027473</v>
      </c>
      <c r="E32" s="1">
        <v>41652</v>
      </c>
      <c r="F32" s="1"/>
      <c r="G32" s="1"/>
      <c r="I32" s="48">
        <v>12794995</v>
      </c>
      <c r="K32" s="20">
        <f t="shared" ref="K32:K43" si="2">ROUND(C32/I32,5)</f>
        <v>0.94001000000000001</v>
      </c>
    </row>
    <row r="33" spans="1:11">
      <c r="A33" s="9" t="s">
        <v>4</v>
      </c>
      <c r="C33" s="1">
        <v>11995005</v>
      </c>
      <c r="E33" s="1">
        <v>41540</v>
      </c>
      <c r="F33" s="1"/>
      <c r="G33" s="1"/>
      <c r="I33" s="48">
        <v>12757024</v>
      </c>
      <c r="K33" s="20">
        <f t="shared" si="2"/>
        <v>0.94027000000000005</v>
      </c>
    </row>
    <row r="34" spans="1:11">
      <c r="A34" s="9" t="s">
        <v>5</v>
      </c>
      <c r="C34" s="1">
        <v>12550807</v>
      </c>
      <c r="E34" s="1">
        <v>43465</v>
      </c>
      <c r="F34" s="1"/>
      <c r="G34" s="1"/>
      <c r="I34" s="48">
        <v>13378337</v>
      </c>
      <c r="K34" s="20">
        <f t="shared" si="2"/>
        <v>0.93813999999999997</v>
      </c>
    </row>
    <row r="35" spans="1:11">
      <c r="A35" s="9" t="s">
        <v>6</v>
      </c>
      <c r="C35" s="1">
        <v>12669599</v>
      </c>
      <c r="E35" s="1">
        <v>43876</v>
      </c>
      <c r="F35" s="1"/>
      <c r="G35" s="1"/>
      <c r="I35" s="48">
        <v>13651888</v>
      </c>
      <c r="K35" s="20">
        <f t="shared" si="2"/>
        <v>0.92805000000000004</v>
      </c>
    </row>
    <row r="36" spans="1:11">
      <c r="A36" s="9" t="s">
        <v>7</v>
      </c>
      <c r="C36" s="1">
        <v>13382309</v>
      </c>
      <c r="E36" s="1">
        <v>46344</v>
      </c>
      <c r="F36" s="1"/>
      <c r="G36" s="1"/>
      <c r="I36" s="48">
        <v>14382200</v>
      </c>
      <c r="K36" s="20">
        <f t="shared" si="2"/>
        <v>0.93047999999999997</v>
      </c>
    </row>
    <row r="37" spans="1:11">
      <c r="A37" s="9" t="s">
        <v>8</v>
      </c>
      <c r="C37" s="1">
        <v>14419570</v>
      </c>
      <c r="E37" s="1">
        <v>49936</v>
      </c>
      <c r="F37" s="1"/>
      <c r="G37" s="1"/>
      <c r="I37" s="48">
        <v>15385765</v>
      </c>
      <c r="K37" s="20">
        <f t="shared" si="2"/>
        <v>0.93720000000000003</v>
      </c>
    </row>
    <row r="38" spans="1:11">
      <c r="A38" s="9" t="s">
        <v>9</v>
      </c>
      <c r="C38" s="1">
        <v>14959014</v>
      </c>
      <c r="E38" s="1">
        <v>51805</v>
      </c>
      <c r="F38" s="1"/>
      <c r="G38" s="1"/>
      <c r="I38" s="48">
        <v>15918284</v>
      </c>
      <c r="K38" s="20">
        <f t="shared" si="2"/>
        <v>0.93974000000000002</v>
      </c>
    </row>
    <row r="39" spans="1:11">
      <c r="A39" s="9" t="s">
        <v>10</v>
      </c>
      <c r="C39" s="1">
        <v>14910567</v>
      </c>
      <c r="E39" s="1">
        <v>51637</v>
      </c>
      <c r="F39" s="1"/>
      <c r="G39" s="1"/>
      <c r="I39" s="48">
        <v>15865449</v>
      </c>
      <c r="K39" s="20">
        <f t="shared" si="2"/>
        <v>0.93981000000000003</v>
      </c>
    </row>
    <row r="40" spans="1:11">
      <c r="A40" s="9" t="s">
        <v>11</v>
      </c>
      <c r="C40" s="1">
        <v>15351943</v>
      </c>
      <c r="E40" s="1">
        <v>53165</v>
      </c>
      <c r="F40" s="1"/>
      <c r="G40" s="1"/>
      <c r="I40" s="48">
        <v>16348485</v>
      </c>
      <c r="K40" s="20">
        <f t="shared" si="2"/>
        <v>0.93903999999999999</v>
      </c>
    </row>
    <row r="41" spans="1:11">
      <c r="A41" s="9" t="s">
        <v>12</v>
      </c>
      <c r="C41" s="1">
        <v>14375763</v>
      </c>
      <c r="E41" s="1">
        <v>49785</v>
      </c>
      <c r="F41" s="1"/>
      <c r="G41" s="1"/>
      <c r="I41" s="48">
        <v>15420118</v>
      </c>
      <c r="K41" s="20">
        <f t="shared" si="2"/>
        <v>0.93227000000000004</v>
      </c>
    </row>
    <row r="42" spans="1:11">
      <c r="A42" s="9" t="s">
        <v>13</v>
      </c>
      <c r="C42" s="1">
        <v>13842545</v>
      </c>
      <c r="E42" s="1">
        <v>47938</v>
      </c>
      <c r="F42" s="1"/>
      <c r="G42" s="1"/>
      <c r="I42" s="48">
        <v>14801956</v>
      </c>
      <c r="K42" s="20">
        <f t="shared" si="2"/>
        <v>0.93518000000000001</v>
      </c>
    </row>
    <row r="43" spans="1:11">
      <c r="A43" s="9" t="s">
        <v>14</v>
      </c>
      <c r="C43" s="1">
        <v>14449654</v>
      </c>
      <c r="E43" s="1">
        <v>50041</v>
      </c>
      <c r="F43" s="1"/>
      <c r="G43" s="1"/>
      <c r="I43" s="48">
        <v>15196267</v>
      </c>
      <c r="K43" s="20">
        <f t="shared" si="2"/>
        <v>0.95086999999999999</v>
      </c>
    </row>
    <row r="44" spans="1:11" ht="13.5" thickBot="1">
      <c r="A44" t="s">
        <v>19</v>
      </c>
      <c r="C44" s="2">
        <f>ROUND(AVERAGE(C31:C43),0)</f>
        <v>13787310</v>
      </c>
      <c r="E44" s="2">
        <f>ROUND(AVERAGE(E31:E43),0)</f>
        <v>71501</v>
      </c>
      <c r="F44" s="1"/>
      <c r="G44" s="21">
        <f>ROUND(E44/C44,5)</f>
        <v>5.1900000000000002E-3</v>
      </c>
      <c r="I44" s="15"/>
      <c r="K44" s="21">
        <f>ROUND(AVERAGE(K31:K43),5)</f>
        <v>0.92208999999999997</v>
      </c>
    </row>
    <row r="45" spans="1:11" ht="13.5" thickTop="1">
      <c r="C45" s="17"/>
      <c r="E45" s="1"/>
      <c r="F45" s="1"/>
      <c r="G45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Cover Page</vt:lpstr>
      <vt:lpstr>Attachment O</vt:lpstr>
      <vt:lpstr>True-Up Adjustment</vt:lpstr>
      <vt:lpstr>Divisor</vt:lpstr>
      <vt:lpstr>Plant in Service</vt:lpstr>
      <vt:lpstr>Accumulated Reserve</vt:lpstr>
      <vt:lpstr>CWIP</vt:lpstr>
      <vt:lpstr>Adj to RB</vt:lpstr>
      <vt:lpstr>Materials &amp; Supplies</vt:lpstr>
      <vt:lpstr>Prepayments</vt:lpstr>
      <vt:lpstr>O&amp;M</vt:lpstr>
      <vt:lpstr>561.BA</vt:lpstr>
      <vt:lpstr>Acct 561 Load Dispatching</vt:lpstr>
      <vt:lpstr>O&amp;M Exclusions</vt:lpstr>
      <vt:lpstr>A&amp;G</vt:lpstr>
      <vt:lpstr>FERC Annual Fees</vt:lpstr>
      <vt:lpstr>Reg Com Exp</vt:lpstr>
      <vt:lpstr>Depreciation Expense</vt:lpstr>
      <vt:lpstr>TOTI</vt:lpstr>
      <vt:lpstr>Production Related Trans</vt:lpstr>
      <vt:lpstr>Transmission Exp incl in OATT</vt:lpstr>
      <vt:lpstr>Wages &amp; Salary</vt:lpstr>
      <vt:lpstr>Capital Structure</vt:lpstr>
      <vt:lpstr>MISO Schedule 1</vt:lpstr>
      <vt:lpstr>Common Plant Allocator</vt:lpstr>
      <vt:lpstr>Revenue Credits</vt:lpstr>
      <vt:lpstr>SIT Calc</vt:lpstr>
      <vt:lpstr>'561.BA'!Print_Area</vt:lpstr>
      <vt:lpstr>'A&amp;G'!Print_Area</vt:lpstr>
      <vt:lpstr>'Acct 561 Load Dispatching'!Print_Area</vt:lpstr>
      <vt:lpstr>'Accumulated Reserve'!Print_Area</vt:lpstr>
      <vt:lpstr>'Adj to RB'!Print_Area</vt:lpstr>
      <vt:lpstr>'Attachment O'!Print_Area</vt:lpstr>
      <vt:lpstr>'Capital Structure'!Print_Area</vt:lpstr>
      <vt:lpstr>'Common Plant Allocator'!Print_Area</vt:lpstr>
      <vt:lpstr>'Cover Page'!Print_Area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Credits'!Print_Area</vt:lpstr>
      <vt:lpstr>TOTI!Print_Area</vt:lpstr>
      <vt:lpstr>'Transmission Exp incl in OATT'!Print_Area</vt:lpstr>
      <vt:lpstr>'True-Up Adjustment'!Print_Area</vt:lpstr>
      <vt:lpstr>'Wages &amp; Salary'!Print_Area</vt:lpstr>
      <vt:lpstr>'Accumulated Reserve'!Print_Titles</vt:lpstr>
      <vt:lpstr>'Adj to RB'!Print_Titles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2015-08-27T16:40:26Z</cp:lastPrinted>
  <dcterms:created xsi:type="dcterms:W3CDTF">2014-06-11T14:31:34Z</dcterms:created>
  <dcterms:modified xsi:type="dcterms:W3CDTF">2015-08-31T14:19:47Z</dcterms:modified>
</cp:coreProperties>
</file>